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fie3-my.sharepoint.com/personal/jenriquez_ffie_com_co/Documents/Documentos/JGTAVO/PROYECTOS BOGOTA/FORMATOS/"/>
    </mc:Choice>
  </mc:AlternateContent>
  <xr:revisionPtr revIDLastSave="0" documentId="8_{455D38C0-26DB-42A6-8248-FFCFC6849B8C}" xr6:coauthVersionLast="47" xr6:coauthVersionMax="47" xr10:uidLastSave="{00000000-0000-0000-0000-000000000000}"/>
  <workbookProtection workbookAlgorithmName="SHA-512" workbookHashValue="GwcBLfcN1vGecTtIWEbjmKolEPo/GlSsOBjc4/UoPzP9WX0rr6z39rHuiDcNPNPfqvWVa17U+hTstBD0Ltq81w==" workbookSaltValue="LqLHSiWAdbDnlBBkJIgm+Q==" workbookSpinCount="100000" lockStructure="1"/>
  <bookViews>
    <workbookView xWindow="-120" yWindow="-120" windowWidth="20730" windowHeight="11040" firstSheet="9" activeTab="10" xr2:uid="{00000000-000D-0000-FFFF-FFFF00000000}"/>
  </bookViews>
  <sheets>
    <sheet name="RESUMEN INTERVENTORIA" sheetId="6" state="hidden" r:id="rId1"/>
    <sheet name="SARDI VALLE" sheetId="35" state="hidden" r:id="rId2"/>
    <sheet name="EL PALMAR VALLE" sheetId="34" state="hidden" r:id="rId3"/>
    <sheet name="FCO ZEA VALLE" sheetId="37" state="hidden" r:id="rId4"/>
    <sheet name="MEGA PALMIRA" sheetId="39" state="hidden" r:id="rId5"/>
    <sheet name="ITA - BUGA" sheetId="30" state="hidden" r:id="rId6"/>
    <sheet name="VILLEGAS - BUGA" sheetId="32" state="hidden" r:id="rId7"/>
    <sheet name="CERVANTES VALLE" sheetId="36" state="hidden" r:id="rId8"/>
    <sheet name="CONCEP VALLE" sheetId="38" state="hidden" r:id="rId9"/>
    <sheet name="Hoja1" sheetId="56" r:id="rId10"/>
    <sheet name="OBRA NUEVA 15 meses" sheetId="61" r:id="rId11"/>
    <sheet name="MITIGACIÓN 5 meses" sheetId="59" r:id="rId12"/>
    <sheet name="Hoja2" sheetId="31" state="hidden" r:id="rId13"/>
    <sheet name="Formato 10" sheetId="29" state="hidden" r:id="rId14"/>
    <sheet name="AULAS MODULARES (2)" sheetId="22" state="hidden" r:id="rId15"/>
    <sheet name="AULAS MODULARES (3)" sheetId="23" state="hidden" r:id="rId16"/>
    <sheet name="Hoja3" sheetId="24" state="hidden" r:id="rId17"/>
  </sheets>
  <externalReferences>
    <externalReference r:id="rId18"/>
    <externalReference r:id="rId19"/>
    <externalReference r:id="rId20"/>
  </externalReferences>
  <definedNames>
    <definedName name="_xlnm._FilterDatabase" localSheetId="5" hidden="1">'ITA - BUGA'!$A$10:$L$42</definedName>
    <definedName name="_xlnm.Print_Area" localSheetId="14">'AULAS MODULARES (2)'!$B$2:$I$107</definedName>
    <definedName name="_xlnm.Print_Area" localSheetId="15">'AULAS MODULARES (3)'!$B$2:$I$103</definedName>
    <definedName name="_xlnm.Print_Area" localSheetId="7">'CERVANTES VALLE'!$A$1:$J$75</definedName>
    <definedName name="_xlnm.Print_Area" localSheetId="8">'CONCEP VALLE'!$A$1:$J$75</definedName>
    <definedName name="_xlnm.Print_Area" localSheetId="2">'EL PALMAR VALLE'!$A$1:$J$75</definedName>
    <definedName name="_xlnm.Print_Area" localSheetId="3">'FCO ZEA VALLE'!$A$1:$J$75</definedName>
    <definedName name="_xlnm.Print_Area" localSheetId="13">'Formato 10'!$A$1:$I$57</definedName>
    <definedName name="_xlnm.Print_Area" localSheetId="5">'ITA - BUGA'!$A$1:$J$75</definedName>
    <definedName name="_xlnm.Print_Area" localSheetId="4">'MEGA PALMIRA'!$A$1:$J$75</definedName>
    <definedName name="_xlnm.Print_Area" localSheetId="11">'MITIGACIÓN 5 meses'!$A$1:$I$69</definedName>
    <definedName name="_xlnm.Print_Area" localSheetId="10">'OBRA NUEVA 15 meses'!$A$1:$J$69</definedName>
    <definedName name="_xlnm.Print_Area" localSheetId="1">'SARDI VALLE'!$A$1:$J$75</definedName>
    <definedName name="_xlnm.Print_Area" localSheetId="6">'VILLEGAS - BUGA'!$A$1:$J$75</definedName>
    <definedName name="ATenerEnCuenta">'[1]IMPUESTOS Y VR TOTAL'!$B$66:$E$83</definedName>
    <definedName name="Calidad">'[1]PERSONAL Y OTROS'!$P$53</definedName>
    <definedName name="Campamento">'[1]PERSONAL Y OTROS'!$P$100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es">'[1]PERSONAL Y OTROS'!$C$13</definedName>
    <definedName name="CdadTecnicos">'[1]PERSONAL Y OTROS'!$C$34</definedName>
    <definedName name="CostoDirecto">'[1]PERSONAL Y OTROS'!$O$9</definedName>
    <definedName name="CostoDirectoObra">'[1]COSTEO TOTAL OBRA'!$D$7</definedName>
    <definedName name="CotizacionARP">'[1]INFORMACION DEL FP'!$G$8:$J$12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OTROS'!$P$95</definedName>
    <definedName name="Equipo">'[1]PERSONAL Y OTROS'!$P$74</definedName>
    <definedName name="Equipos">'[1]PERSONAL Y OTROS'!$P$74</definedName>
    <definedName name="FactorMultFinal">[1]FM!$E$57</definedName>
    <definedName name="FactorMultiplicaCalculado">[1]FM!$D$45</definedName>
    <definedName name="GastosViajes" localSheetId="14">'[1]PERSONAL Y OTROS'!#REF!</definedName>
    <definedName name="GastosViajes" localSheetId="15">'[1]PERSONAL Y OTROS'!#REF!</definedName>
    <definedName name="GastosViajes" localSheetId="7">'[1]PERSONAL Y OTROS'!#REF!</definedName>
    <definedName name="GastosViajes" localSheetId="8">'[1]PERSONAL Y OTROS'!#REF!</definedName>
    <definedName name="GastosViajes" localSheetId="2">'[1]PERSONAL Y OTROS'!#REF!</definedName>
    <definedName name="GastosViajes" localSheetId="3">'[1]PERSONAL Y OTROS'!#REF!</definedName>
    <definedName name="GastosViajes" localSheetId="13">'[1]PERSONAL Y OTROS'!#REF!</definedName>
    <definedName name="GastosViajes" localSheetId="9">'[1]PERSONAL Y OTROS'!#REF!</definedName>
    <definedName name="GastosViajes" localSheetId="5">'[1]PERSONAL Y OTROS'!#REF!</definedName>
    <definedName name="GastosViajes" localSheetId="4">'[1]PERSONAL Y OTROS'!#REF!</definedName>
    <definedName name="GastosViajes" localSheetId="11">'[1]PERSONAL Y OTROS'!#REF!</definedName>
    <definedName name="GastosViajes" localSheetId="10">'[1]PERSONAL Y OTROS'!#REF!</definedName>
    <definedName name="GastosViajes" localSheetId="1">'[1]PERSONAL Y OTROS'!#REF!</definedName>
    <definedName name="GastosViajes" localSheetId="6">'[1]PERSONAL Y OTROS'!#REF!</definedName>
    <definedName name="GastosViajes">'[1]PERSONAL Y OTROS'!#REF!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Consultoria">'[1]IMPUESTOS Y VR TOTAL'!$F$51</definedName>
    <definedName name="OrigenObra">'[1]IMPUESTOS Y VR TOTAL'!$F$27</definedName>
    <definedName name="P1_12_10" localSheetId="14">#REF!</definedName>
    <definedName name="P1_12_10" localSheetId="15">#REF!</definedName>
    <definedName name="P1_12_10" localSheetId="7">#REF!</definedName>
    <definedName name="P1_12_10" localSheetId="8">#REF!</definedName>
    <definedName name="P1_12_10" localSheetId="2">#REF!</definedName>
    <definedName name="P1_12_10" localSheetId="3">#REF!</definedName>
    <definedName name="P1_12_10" localSheetId="13">#REF!</definedName>
    <definedName name="P1_12_10" localSheetId="9">#REF!</definedName>
    <definedName name="P1_12_10" localSheetId="5">#REF!</definedName>
    <definedName name="P1_12_10" localSheetId="4">#REF!</definedName>
    <definedName name="P1_12_10" localSheetId="11">#REF!</definedName>
    <definedName name="P1_12_10" localSheetId="10">#REF!</definedName>
    <definedName name="P1_12_10" localSheetId="1">#REF!</definedName>
    <definedName name="P1_12_10" localSheetId="6">#REF!</definedName>
    <definedName name="P1_12_10">#REF!</definedName>
    <definedName name="PersonalProfesional" localSheetId="14">'[1]PERSONAL Y OTROS'!#REF!</definedName>
    <definedName name="PersonalProfesional" localSheetId="15">'[1]PERSONAL Y OTROS'!#REF!</definedName>
    <definedName name="PersonalProfesional" localSheetId="7">'[1]PERSONAL Y OTROS'!#REF!</definedName>
    <definedName name="PersonalProfesional" localSheetId="8">'[1]PERSONAL Y OTROS'!#REF!</definedName>
    <definedName name="PersonalProfesional" localSheetId="2">'[1]PERSONAL Y OTROS'!#REF!</definedName>
    <definedName name="PersonalProfesional" localSheetId="3">'[1]PERSONAL Y OTROS'!#REF!</definedName>
    <definedName name="PersonalProfesional" localSheetId="13">'[1]PERSONAL Y OTROS'!#REF!</definedName>
    <definedName name="PersonalProfesional" localSheetId="9">'[1]PERSONAL Y OTROS'!#REF!</definedName>
    <definedName name="PersonalProfesional" localSheetId="5">'[1]PERSONAL Y OTROS'!#REF!</definedName>
    <definedName name="PersonalProfesional" localSheetId="4">'[1]PERSONAL Y OTROS'!#REF!</definedName>
    <definedName name="PersonalProfesional" localSheetId="11">'[1]PERSONAL Y OTROS'!#REF!</definedName>
    <definedName name="PersonalProfesional" localSheetId="10">'[1]PERSONAL Y OTROS'!#REF!</definedName>
    <definedName name="PersonalProfesional" localSheetId="1">'[1]PERSONAL Y OTROS'!#REF!</definedName>
    <definedName name="PersonalProfesional" localSheetId="6">'[1]PERSONAL Y OTROS'!#REF!</definedName>
    <definedName name="PersonalProfesional">'[1]PERSONAL Y OTROS'!#REF!</definedName>
    <definedName name="PersonalTecnico" localSheetId="14">'[1]PERSONAL Y OTROS'!#REF!</definedName>
    <definedName name="PersonalTecnico" localSheetId="15">'[1]PERSONAL Y OTROS'!#REF!</definedName>
    <definedName name="PersonalTecnico" localSheetId="7">'[1]PERSONAL Y OTROS'!#REF!</definedName>
    <definedName name="PersonalTecnico" localSheetId="8">'[1]PERSONAL Y OTROS'!#REF!</definedName>
    <definedName name="PersonalTecnico" localSheetId="2">'[1]PERSONAL Y OTROS'!#REF!</definedName>
    <definedName name="PersonalTecnico" localSheetId="3">'[1]PERSONAL Y OTROS'!#REF!</definedName>
    <definedName name="PersonalTecnico" localSheetId="5">'[1]PERSONAL Y OTROS'!#REF!</definedName>
    <definedName name="PersonalTecnico" localSheetId="4">'[1]PERSONAL Y OTROS'!#REF!</definedName>
    <definedName name="PersonalTecnico" localSheetId="11">'[1]PERSONAL Y OTROS'!#REF!</definedName>
    <definedName name="PersonalTecnico" localSheetId="10">'[1]PERSONAL Y OTROS'!#REF!</definedName>
    <definedName name="PersonalTecnico" localSheetId="1">'[1]PERSONAL Y OTROS'!#REF!</definedName>
    <definedName name="PersonalTecnico" localSheetId="6">'[1]PERSONAL Y OTROS'!#REF!</definedName>
    <definedName name="PersonalTecnico">'[1]PERSONAL Y OTROS'!#REF!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 localSheetId="14">#REF!</definedName>
    <definedName name="TarifaMT" localSheetId="15">#REF!</definedName>
    <definedName name="TarifaMT" localSheetId="7">#REF!</definedName>
    <definedName name="TarifaMT" localSheetId="8">#REF!</definedName>
    <definedName name="TarifaMT" localSheetId="2">#REF!</definedName>
    <definedName name="TarifaMT" localSheetId="3">#REF!</definedName>
    <definedName name="TarifaMT" localSheetId="13">#REF!</definedName>
    <definedName name="TarifaMT" localSheetId="9">#REF!</definedName>
    <definedName name="TarifaMT" localSheetId="5">#REF!</definedName>
    <definedName name="TarifaMT" localSheetId="4">#REF!</definedName>
    <definedName name="TarifaMT" localSheetId="11">#REF!</definedName>
    <definedName name="TarifaMT" localSheetId="10">#REF!</definedName>
    <definedName name="TarifaMT" localSheetId="1">#REF!</definedName>
    <definedName name="TarifaMT" localSheetId="6">#REF!</definedName>
    <definedName name="TarifaMT">#REF!</definedName>
    <definedName name="Tecnico">'[1]PERSONAL Y OTROS'!$P$34</definedName>
    <definedName name="TipoCosteo">'[1]PERSONAL Y OTROS'!$D$8</definedName>
    <definedName name="TipoCosteoNivelRiesgo">'[1]INFORMACION DEL FP'!$L$8:$M$12</definedName>
    <definedName name="TiposCampamentos">'[1]PERSONAL Y OTROS'!$A$126:$A$139</definedName>
    <definedName name="TiposEnsayos" localSheetId="14">'[1]PERSONAL Y OTROS'!#REF!</definedName>
    <definedName name="TiposEnsayos" localSheetId="15">'[1]PERSONAL Y OTROS'!#REF!</definedName>
    <definedName name="TiposEnsayos" localSheetId="7">'[1]PERSONAL Y OTROS'!#REF!</definedName>
    <definedName name="TiposEnsayos" localSheetId="8">'[1]PERSONAL Y OTROS'!#REF!</definedName>
    <definedName name="TiposEnsayos" localSheetId="2">'[1]PERSONAL Y OTROS'!#REF!</definedName>
    <definedName name="TiposEnsayos" localSheetId="3">'[1]PERSONAL Y OTROS'!#REF!</definedName>
    <definedName name="TiposEnsayos" localSheetId="13">'[1]PERSONAL Y OTROS'!#REF!</definedName>
    <definedName name="TiposEnsayos" localSheetId="9">'[1]PERSONAL Y OTROS'!#REF!</definedName>
    <definedName name="TiposEnsayos" localSheetId="5">'[1]PERSONAL Y OTROS'!#REF!</definedName>
    <definedName name="TiposEnsayos" localSheetId="4">'[1]PERSONAL Y OTROS'!#REF!</definedName>
    <definedName name="TiposEnsayos" localSheetId="11">'[1]PERSONAL Y OTROS'!#REF!</definedName>
    <definedName name="TiposEnsayos" localSheetId="10">'[1]PERSONAL Y OTROS'!#REF!</definedName>
    <definedName name="TiposEnsayos" localSheetId="1">'[1]PERSONAL Y OTROS'!#REF!</definedName>
    <definedName name="TiposEnsayos" localSheetId="6">'[1]PERSONAL Y OTROS'!#REF!</definedName>
    <definedName name="TiposEnsayos">'[1]PERSONAL Y OTROS'!#REF!</definedName>
    <definedName name="TiposEquipos" localSheetId="14">'[1]PERSONAL Y OTROS'!#REF!</definedName>
    <definedName name="TiposEquipos" localSheetId="15">'[1]PERSONAL Y OTROS'!#REF!</definedName>
    <definedName name="TiposEquipos" localSheetId="7">'[1]PERSONAL Y OTROS'!#REF!</definedName>
    <definedName name="TiposEquipos" localSheetId="8">'[1]PERSONAL Y OTROS'!#REF!</definedName>
    <definedName name="TiposEquipos" localSheetId="2">'[1]PERSONAL Y OTROS'!#REF!</definedName>
    <definedName name="TiposEquipos" localSheetId="3">'[1]PERSONAL Y OTROS'!#REF!</definedName>
    <definedName name="TiposEquipos" localSheetId="5">'[1]PERSONAL Y OTROS'!#REF!</definedName>
    <definedName name="TiposEquipos" localSheetId="4">'[1]PERSONAL Y OTROS'!#REF!</definedName>
    <definedName name="TiposEquipos" localSheetId="11">'[1]PERSONAL Y OTROS'!#REF!</definedName>
    <definedName name="TiposEquipos" localSheetId="10">'[1]PERSONAL Y OTROS'!#REF!</definedName>
    <definedName name="TiposEquipos" localSheetId="1">'[1]PERSONAL Y OTROS'!#REF!</definedName>
    <definedName name="TiposEquipos" localSheetId="6">'[1]PERSONAL Y OTROS'!#REF!</definedName>
    <definedName name="TiposEquipos">'[1]PERSONAL Y OTROS'!#REF!</definedName>
    <definedName name="TiposOficina" localSheetId="14">'[1]PERSONAL Y OTROS'!#REF!</definedName>
    <definedName name="TiposOficina" localSheetId="15">'[1]PERSONAL Y OTROS'!#REF!</definedName>
    <definedName name="TiposOficina" localSheetId="7">'[1]PERSONAL Y OTROS'!#REF!</definedName>
    <definedName name="TiposOficina" localSheetId="8">'[1]PERSONAL Y OTROS'!#REF!</definedName>
    <definedName name="TiposOficina" localSheetId="2">'[1]PERSONAL Y OTROS'!#REF!</definedName>
    <definedName name="TiposOficina" localSheetId="3">'[1]PERSONAL Y OTROS'!#REF!</definedName>
    <definedName name="TiposOficina" localSheetId="5">'[1]PERSONAL Y OTROS'!#REF!</definedName>
    <definedName name="TiposOficina" localSheetId="4">'[1]PERSONAL Y OTROS'!#REF!</definedName>
    <definedName name="TiposOficina" localSheetId="11">'[1]PERSONAL Y OTROS'!#REF!</definedName>
    <definedName name="TiposOficina" localSheetId="10">'[1]PERSONAL Y OTROS'!#REF!</definedName>
    <definedName name="TiposOficina" localSheetId="1">'[1]PERSONAL Y OTROS'!#REF!</definedName>
    <definedName name="TiposOficina" localSheetId="6">'[1]PERSONAL Y OTROS'!#REF!</definedName>
    <definedName name="TiposOficina">'[1]PERSONAL Y OTROS'!#REF!</definedName>
    <definedName name="TiposPersonalProfesional" localSheetId="14">'[1]PERSONAL Y OTROS'!#REF!</definedName>
    <definedName name="TiposPersonalProfesional" localSheetId="15">'[1]PERSONAL Y OTROS'!#REF!</definedName>
    <definedName name="TiposPersonalProfesional" localSheetId="7">'[1]PERSONAL Y OTROS'!#REF!</definedName>
    <definedName name="TiposPersonalProfesional" localSheetId="8">'[1]PERSONAL Y OTROS'!#REF!</definedName>
    <definedName name="TiposPersonalProfesional" localSheetId="2">'[1]PERSONAL Y OTROS'!#REF!</definedName>
    <definedName name="TiposPersonalProfesional" localSheetId="3">'[1]PERSONAL Y OTROS'!#REF!</definedName>
    <definedName name="TiposPersonalProfesional" localSheetId="5">'[1]PERSONAL Y OTROS'!#REF!</definedName>
    <definedName name="TiposPersonalProfesional" localSheetId="4">'[1]PERSONAL Y OTROS'!#REF!</definedName>
    <definedName name="TiposPersonalProfesional" localSheetId="11">'[1]PERSONAL Y OTROS'!#REF!</definedName>
    <definedName name="TiposPersonalProfesional" localSheetId="10">'[1]PERSONAL Y OTROS'!#REF!</definedName>
    <definedName name="TiposPersonalProfesional" localSheetId="1">'[1]PERSONAL Y OTROS'!#REF!</definedName>
    <definedName name="TiposPersonalProfesional" localSheetId="6">'[1]PERSONAL Y OTROS'!#REF!</definedName>
    <definedName name="TiposPersonalProfesional">'[1]PERSONAL Y OTROS'!#REF!</definedName>
    <definedName name="TiposPersonalTecnico" localSheetId="14">'[1]PERSONAL Y OTROS'!#REF!</definedName>
    <definedName name="TiposPersonalTecnico" localSheetId="15">'[1]PERSONAL Y OTROS'!#REF!</definedName>
    <definedName name="TiposPersonalTecnico" localSheetId="7">'[1]PERSONAL Y OTROS'!#REF!</definedName>
    <definedName name="TiposPersonalTecnico" localSheetId="8">'[1]PERSONAL Y OTROS'!#REF!</definedName>
    <definedName name="TiposPersonalTecnico" localSheetId="2">'[1]PERSONAL Y OTROS'!#REF!</definedName>
    <definedName name="TiposPersonalTecnico" localSheetId="3">'[1]PERSONAL Y OTROS'!#REF!</definedName>
    <definedName name="TiposPersonalTecnico" localSheetId="5">'[1]PERSONAL Y OTROS'!#REF!</definedName>
    <definedName name="TiposPersonalTecnico" localSheetId="4">'[1]PERSONAL Y OTROS'!#REF!</definedName>
    <definedName name="TiposPersonalTecnico" localSheetId="11">'[1]PERSONAL Y OTROS'!#REF!</definedName>
    <definedName name="TiposPersonalTecnico" localSheetId="10">'[1]PERSONAL Y OTROS'!#REF!</definedName>
    <definedName name="TiposPersonalTecnico" localSheetId="1">'[1]PERSONAL Y OTROS'!#REF!</definedName>
    <definedName name="TiposPersonalTecnico" localSheetId="6">'[1]PERSONAL Y OTROS'!#REF!</definedName>
    <definedName name="TiposPersonalTecnico">'[1]PERSONAL Y OTROS'!#REF!</definedName>
    <definedName name="TotalCalidad">'[1]PERSONAL Y OTROS'!$O$54:$O$62</definedName>
    <definedName name="TotalCam">'[1]PERSONAL Y OTROS'!$O$101:$O$111</definedName>
    <definedName name="TotalContratoConIva">'[1]COSTEO TOTAL OBRA'!$D$35</definedName>
    <definedName name="TotalContratoSinIVA">'[1]COSTEO TOTAL OBRA'!$D$33</definedName>
    <definedName name="TotalEns">'[1]PERSONAL Y OTROS'!$O$96:$O$98</definedName>
    <definedName name="TotalEqu">'[1]PERSONAL Y OTROS'!$O$75:$O$81</definedName>
    <definedName name="TotalImpuestosObra">'[1]IMPUESTOS Y VR TOTAL'!$F$10</definedName>
    <definedName name="TotalOfi">'[1]PERSONAL Y OTROS'!$O$65:$O$72</definedName>
    <definedName name="TotalPaginaPersonal">'[1]PERSONAL Y OTROS'!$O$10</definedName>
    <definedName name="TotalPro">'[1]PERSONAL Y OTROS'!$O$14:$O$32</definedName>
    <definedName name="TotalTec">'[1]PERSONAL Y OTROS'!$O$35:$O$44</definedName>
    <definedName name="TotalTram">'[1]PERSONAL Y OTROS'!$O$84:$O$86</definedName>
    <definedName name="TotalVia">'[1]PERSONAL Y OTROS'!$O$89:$O$93</definedName>
    <definedName name="Tramite">'[1]PERSONAL Y OTROS'!$P$83</definedName>
    <definedName name="UtilidadObra">'[1]IMPUESTOS Y VR TOTAL'!$F$7</definedName>
    <definedName name="ValorTotConsultoria">[1]FM!$E$62</definedName>
    <definedName name="Viajes">'[1]PERSONAL Y OTROS'!$P$88</definedName>
    <definedName name="VILLEGAS" localSheetId="7">'[1]PERSONAL Y OTROS'!#REF!</definedName>
    <definedName name="VILLEGAS" localSheetId="8">'[1]PERSONAL Y OTROS'!#REF!</definedName>
    <definedName name="VILLEGAS" localSheetId="2">'[1]PERSONAL Y OTROS'!#REF!</definedName>
    <definedName name="VILLEGAS" localSheetId="3">'[1]PERSONAL Y OTROS'!#REF!</definedName>
    <definedName name="VILLEGAS" localSheetId="4">'[1]PERSONAL Y OTROS'!#REF!</definedName>
    <definedName name="VILLEGAS" localSheetId="11">'[1]PERSONAL Y OTROS'!#REF!</definedName>
    <definedName name="VILLEGAS" localSheetId="10">'[1]PERSONAL Y OTROS'!#REF!</definedName>
    <definedName name="VILLEGAS" localSheetId="1">'[1]PERSONAL Y OTROS'!#REF!</definedName>
    <definedName name="VILLEGAS">'[1]PERSONAL Y OTROS'!#REF!</definedName>
    <definedName name="XMesPersonalPromedio">[1]FM!$E$8</definedName>
    <definedName name="XMesProfesionales">'[1]PERSONAL Y OTROS'!$I$33</definedName>
    <definedName name="XMesTecnicos">'[1]PERSONAL Y OTROS'!$I$45</definedName>
    <definedName name="xx">[3]PERSONAL!$D$10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9" l="1"/>
  <c r="I11" i="59"/>
  <c r="H33" i="61"/>
  <c r="J33" i="61" s="1"/>
  <c r="J11" i="61"/>
  <c r="H39" i="61" l="1"/>
  <c r="J39" i="61" s="1"/>
  <c r="G39" i="61"/>
  <c r="H38" i="61"/>
  <c r="J38" i="61" s="1"/>
  <c r="G38" i="61"/>
  <c r="H37" i="61"/>
  <c r="J37" i="61" s="1"/>
  <c r="G37" i="61"/>
  <c r="H36" i="61"/>
  <c r="J36" i="61" s="1"/>
  <c r="G36" i="61"/>
  <c r="H34" i="61"/>
  <c r="J34" i="61" s="1"/>
  <c r="I28" i="61"/>
  <c r="H28" i="61"/>
  <c r="I27" i="61"/>
  <c r="H27" i="61"/>
  <c r="I26" i="61"/>
  <c r="H26" i="61"/>
  <c r="I25" i="61"/>
  <c r="H25" i="61"/>
  <c r="I24" i="61"/>
  <c r="H24" i="61"/>
  <c r="I23" i="61"/>
  <c r="H23" i="61"/>
  <c r="I22" i="61"/>
  <c r="H22" i="61"/>
  <c r="I21" i="61"/>
  <c r="H21" i="61"/>
  <c r="I20" i="61"/>
  <c r="H20" i="61"/>
  <c r="I19" i="61"/>
  <c r="H19" i="61"/>
  <c r="I18" i="61"/>
  <c r="H18" i="61"/>
  <c r="H17" i="61"/>
  <c r="J17" i="61" s="1"/>
  <c r="I16" i="61"/>
  <c r="H16" i="61"/>
  <c r="I15" i="61"/>
  <c r="H15" i="61"/>
  <c r="I14" i="61"/>
  <c r="H14" i="61"/>
  <c r="I13" i="61"/>
  <c r="H13" i="61"/>
  <c r="H12" i="61"/>
  <c r="J12" i="61" s="1"/>
  <c r="G39" i="59"/>
  <c r="I39" i="59" s="1"/>
  <c r="F39" i="59"/>
  <c r="G38" i="59"/>
  <c r="I38" i="59" s="1"/>
  <c r="F38" i="59"/>
  <c r="G37" i="59"/>
  <c r="I37" i="59" s="1"/>
  <c r="F37" i="59"/>
  <c r="G36" i="59"/>
  <c r="I36" i="59" s="1"/>
  <c r="F36" i="59"/>
  <c r="G34" i="59"/>
  <c r="I34" i="59" s="1"/>
  <c r="H28" i="59"/>
  <c r="G28" i="59"/>
  <c r="H27" i="59"/>
  <c r="G27" i="59"/>
  <c r="H26" i="59"/>
  <c r="G26" i="59"/>
  <c r="H25" i="59"/>
  <c r="G25" i="59"/>
  <c r="H24" i="59"/>
  <c r="G24" i="59"/>
  <c r="H23" i="59"/>
  <c r="G23" i="59"/>
  <c r="H22" i="59"/>
  <c r="G22" i="59"/>
  <c r="H21" i="59"/>
  <c r="G21" i="59"/>
  <c r="H20" i="59"/>
  <c r="G20" i="59"/>
  <c r="H19" i="59"/>
  <c r="G19" i="59"/>
  <c r="G18" i="59"/>
  <c r="I18" i="59" s="1"/>
  <c r="G17" i="59"/>
  <c r="I17" i="59" s="1"/>
  <c r="H16" i="59"/>
  <c r="G16" i="59"/>
  <c r="H15" i="59"/>
  <c r="G15" i="59"/>
  <c r="H14" i="59"/>
  <c r="G14" i="59"/>
  <c r="H13" i="59"/>
  <c r="G13" i="59"/>
  <c r="G12" i="59"/>
  <c r="I12" i="59" s="1"/>
  <c r="J22" i="61" l="1"/>
  <c r="J26" i="61"/>
  <c r="J18" i="61"/>
  <c r="J14" i="61"/>
  <c r="J19" i="61"/>
  <c r="J23" i="61"/>
  <c r="J27" i="61"/>
  <c r="J15" i="61"/>
  <c r="J20" i="61"/>
  <c r="J24" i="61"/>
  <c r="J28" i="61"/>
  <c r="J16" i="61"/>
  <c r="J21" i="61"/>
  <c r="J25" i="61"/>
  <c r="J13" i="61"/>
  <c r="I15" i="59"/>
  <c r="I20" i="59"/>
  <c r="I24" i="59"/>
  <c r="I28" i="59"/>
  <c r="I21" i="59"/>
  <c r="I13" i="59"/>
  <c r="I26" i="59"/>
  <c r="I16" i="59"/>
  <c r="I25" i="59"/>
  <c r="I22" i="59"/>
  <c r="I14" i="59"/>
  <c r="I19" i="59"/>
  <c r="I23" i="59"/>
  <c r="I27" i="59"/>
  <c r="I33" i="59"/>
  <c r="I41" i="59" s="1"/>
  <c r="J41" i="61"/>
  <c r="I30" i="59" l="1"/>
  <c r="I43" i="59" s="1"/>
  <c r="H33" i="56"/>
  <c r="H32" i="56"/>
  <c r="H31" i="56"/>
  <c r="G28" i="56"/>
  <c r="H28" i="56" s="1"/>
  <c r="G27" i="56"/>
  <c r="H27" i="56" s="1"/>
  <c r="G26" i="56"/>
  <c r="H26" i="56" s="1"/>
  <c r="H25" i="56"/>
  <c r="G25" i="56"/>
  <c r="G24" i="56"/>
  <c r="H24" i="56" s="1"/>
  <c r="G23" i="56"/>
  <c r="H23" i="56" s="1"/>
  <c r="H22" i="56"/>
  <c r="G22" i="56"/>
  <c r="H21" i="56"/>
  <c r="G21" i="56"/>
  <c r="G19" i="56"/>
  <c r="H19" i="56" s="1"/>
  <c r="G18" i="56"/>
  <c r="H18" i="56" s="1"/>
  <c r="G17" i="56"/>
  <c r="H17" i="56" s="1"/>
  <c r="G16" i="56"/>
  <c r="H16" i="56" s="1"/>
  <c r="G15" i="56"/>
  <c r="H15" i="56" s="1"/>
  <c r="G14" i="56"/>
  <c r="H14" i="56" s="1"/>
  <c r="G13" i="56"/>
  <c r="H13" i="56" s="1"/>
  <c r="G12" i="56"/>
  <c r="H12" i="56" s="1"/>
  <c r="G11" i="56"/>
  <c r="H11" i="56" s="1"/>
  <c r="H10" i="56"/>
  <c r="J30" i="61" l="1"/>
  <c r="J43" i="61" l="1"/>
  <c r="I50" i="59"/>
  <c r="I51" i="59" l="1"/>
  <c r="I52" i="59" s="1"/>
  <c r="J50" i="61"/>
  <c r="M32" i="30"/>
  <c r="H78" i="30"/>
  <c r="I78" i="30" s="1"/>
  <c r="E77" i="32"/>
  <c r="F77" i="32" s="1"/>
  <c r="G77" i="32" s="1"/>
  <c r="E78" i="30"/>
  <c r="F78" i="30"/>
  <c r="G78" i="30" s="1"/>
  <c r="E78" i="39"/>
  <c r="F78" i="39"/>
  <c r="G78" i="39"/>
  <c r="E80" i="37"/>
  <c r="F80" i="37" s="1"/>
  <c r="G80" i="37" s="1"/>
  <c r="E80" i="36"/>
  <c r="F80" i="36"/>
  <c r="G80" i="36" s="1"/>
  <c r="E82" i="34"/>
  <c r="F82" i="34"/>
  <c r="G82" i="34" s="1"/>
  <c r="E79" i="38"/>
  <c r="F79" i="38" s="1"/>
  <c r="G79" i="38" s="1"/>
  <c r="H53" i="39"/>
  <c r="J53" i="39"/>
  <c r="G53" i="39"/>
  <c r="H52" i="39"/>
  <c r="J52" i="39"/>
  <c r="G52" i="39"/>
  <c r="H51" i="39"/>
  <c r="J51" i="39" s="1"/>
  <c r="G51" i="39"/>
  <c r="H50" i="39"/>
  <c r="J50" i="39"/>
  <c r="G50" i="39"/>
  <c r="H49" i="39"/>
  <c r="J49" i="39"/>
  <c r="G49" i="39"/>
  <c r="H48" i="39"/>
  <c r="J48" i="39"/>
  <c r="G48" i="39"/>
  <c r="H47" i="39"/>
  <c r="J47" i="39" s="1"/>
  <c r="J55" i="39" s="1"/>
  <c r="G47" i="39"/>
  <c r="H42" i="39"/>
  <c r="G42" i="39"/>
  <c r="H41" i="39"/>
  <c r="G41" i="39"/>
  <c r="J41" i="39" s="1"/>
  <c r="H40" i="39"/>
  <c r="J40" i="39" s="1"/>
  <c r="G40" i="39"/>
  <c r="H39" i="39"/>
  <c r="J39" i="39" s="1"/>
  <c r="G39" i="39"/>
  <c r="H38" i="39"/>
  <c r="G38" i="39"/>
  <c r="H37" i="39"/>
  <c r="J37" i="39" s="1"/>
  <c r="G37" i="39"/>
  <c r="H36" i="39"/>
  <c r="G36" i="39"/>
  <c r="H35" i="39"/>
  <c r="J35" i="39" s="1"/>
  <c r="G35" i="39"/>
  <c r="H34" i="39"/>
  <c r="G34" i="39"/>
  <c r="J34" i="39"/>
  <c r="H33" i="39"/>
  <c r="J33" i="39" s="1"/>
  <c r="G33" i="39"/>
  <c r="H32" i="39"/>
  <c r="G32" i="39"/>
  <c r="H31" i="39"/>
  <c r="G31" i="39"/>
  <c r="H30" i="39"/>
  <c r="G30" i="39"/>
  <c r="J30" i="39" s="1"/>
  <c r="H29" i="39"/>
  <c r="G29" i="39"/>
  <c r="J29" i="39" s="1"/>
  <c r="H28" i="39"/>
  <c r="J28" i="39" s="1"/>
  <c r="G28" i="39"/>
  <c r="H27" i="39"/>
  <c r="G27" i="39"/>
  <c r="H26" i="39"/>
  <c r="J26" i="39" s="1"/>
  <c r="G26" i="39"/>
  <c r="H25" i="39"/>
  <c r="G25" i="39"/>
  <c r="J25" i="39" s="1"/>
  <c r="H24" i="39"/>
  <c r="G24" i="39"/>
  <c r="H23" i="39"/>
  <c r="G23" i="39"/>
  <c r="J23" i="39" s="1"/>
  <c r="H22" i="39"/>
  <c r="J22" i="39" s="1"/>
  <c r="G22" i="39"/>
  <c r="H21" i="39"/>
  <c r="G21" i="39"/>
  <c r="H20" i="39"/>
  <c r="G20" i="39"/>
  <c r="H19" i="39"/>
  <c r="G19" i="39"/>
  <c r="J19" i="39" s="1"/>
  <c r="H18" i="39"/>
  <c r="G18" i="39"/>
  <c r="J18" i="39"/>
  <c r="K18" i="39" s="1"/>
  <c r="L18" i="39" s="1"/>
  <c r="H17" i="39"/>
  <c r="J17" i="39" s="1"/>
  <c r="G17" i="39"/>
  <c r="H16" i="39"/>
  <c r="G16" i="39"/>
  <c r="H15" i="39"/>
  <c r="J15" i="39" s="1"/>
  <c r="G15" i="39"/>
  <c r="H14" i="39"/>
  <c r="G14" i="39"/>
  <c r="J14" i="39"/>
  <c r="H13" i="39"/>
  <c r="G13" i="39"/>
  <c r="J13" i="39" s="1"/>
  <c r="H12" i="39"/>
  <c r="G12" i="39"/>
  <c r="G11" i="39"/>
  <c r="J11" i="39" s="1"/>
  <c r="J53" i="38"/>
  <c r="H53" i="38"/>
  <c r="H52" i="38"/>
  <c r="J52" i="38"/>
  <c r="H51" i="38"/>
  <c r="J51" i="38" s="1"/>
  <c r="H50" i="38"/>
  <c r="J50" i="38" s="1"/>
  <c r="H49" i="38"/>
  <c r="J49" i="38"/>
  <c r="H48" i="38"/>
  <c r="J48" i="38" s="1"/>
  <c r="H47" i="38"/>
  <c r="J47" i="38" s="1"/>
  <c r="H42" i="38"/>
  <c r="J42" i="38"/>
  <c r="H41" i="38"/>
  <c r="J41" i="38" s="1"/>
  <c r="H40" i="38"/>
  <c r="J40" i="38" s="1"/>
  <c r="H39" i="38"/>
  <c r="J39" i="38"/>
  <c r="H38" i="38"/>
  <c r="J38" i="38" s="1"/>
  <c r="H37" i="38"/>
  <c r="J37" i="38" s="1"/>
  <c r="H36" i="38"/>
  <c r="J36" i="38"/>
  <c r="H35" i="38"/>
  <c r="J35" i="38" s="1"/>
  <c r="H34" i="38"/>
  <c r="J34" i="38" s="1"/>
  <c r="H33" i="38"/>
  <c r="J33" i="38"/>
  <c r="H32" i="38"/>
  <c r="J32" i="38" s="1"/>
  <c r="H31" i="38"/>
  <c r="J31" i="38" s="1"/>
  <c r="H30" i="38"/>
  <c r="J30" i="38"/>
  <c r="H29" i="38"/>
  <c r="J29" i="38" s="1"/>
  <c r="H28" i="38"/>
  <c r="J28" i="38" s="1"/>
  <c r="H27" i="38"/>
  <c r="J27" i="38"/>
  <c r="H26" i="38"/>
  <c r="J26" i="38" s="1"/>
  <c r="H25" i="38"/>
  <c r="J25" i="38" s="1"/>
  <c r="H24" i="38"/>
  <c r="J24" i="38"/>
  <c r="H23" i="38"/>
  <c r="J23" i="38" s="1"/>
  <c r="H22" i="38"/>
  <c r="J22" i="38" s="1"/>
  <c r="H21" i="38"/>
  <c r="J21" i="38"/>
  <c r="H20" i="38"/>
  <c r="J20" i="38" s="1"/>
  <c r="H19" i="38"/>
  <c r="J19" i="38" s="1"/>
  <c r="H18" i="38"/>
  <c r="J18" i="38"/>
  <c r="H17" i="38"/>
  <c r="J17" i="38" s="1"/>
  <c r="H16" i="38"/>
  <c r="J16" i="38" s="1"/>
  <c r="K16" i="38" s="1"/>
  <c r="L16" i="38" s="1"/>
  <c r="H15" i="38"/>
  <c r="J15" i="38" s="1"/>
  <c r="H14" i="38"/>
  <c r="J14" i="38" s="1"/>
  <c r="H13" i="38"/>
  <c r="J13" i="38" s="1"/>
  <c r="J44" i="38" s="1"/>
  <c r="J57" i="38" s="1"/>
  <c r="H12" i="38"/>
  <c r="J12" i="38" s="1"/>
  <c r="J11" i="38"/>
  <c r="H53" i="37"/>
  <c r="J53" i="37" s="1"/>
  <c r="G53" i="37"/>
  <c r="H52" i="37"/>
  <c r="J52" i="37" s="1"/>
  <c r="G52" i="37"/>
  <c r="H51" i="37"/>
  <c r="J51" i="37" s="1"/>
  <c r="G51" i="37"/>
  <c r="H50" i="37"/>
  <c r="J50" i="37" s="1"/>
  <c r="G50" i="37"/>
  <c r="H49" i="37"/>
  <c r="J49" i="37"/>
  <c r="G49" i="37"/>
  <c r="H48" i="37"/>
  <c r="J48" i="37" s="1"/>
  <c r="G48" i="37"/>
  <c r="H47" i="37"/>
  <c r="J47" i="37"/>
  <c r="G47" i="37"/>
  <c r="H42" i="37"/>
  <c r="G42" i="37"/>
  <c r="H41" i="37"/>
  <c r="J41" i="37" s="1"/>
  <c r="G41" i="37"/>
  <c r="H40" i="37"/>
  <c r="G40" i="37"/>
  <c r="H39" i="37"/>
  <c r="J39" i="37" s="1"/>
  <c r="G39" i="37"/>
  <c r="H38" i="37"/>
  <c r="G38" i="37"/>
  <c r="H37" i="37"/>
  <c r="J37" i="37" s="1"/>
  <c r="G37" i="37"/>
  <c r="H36" i="37"/>
  <c r="G36" i="37"/>
  <c r="H35" i="37"/>
  <c r="J35" i="37" s="1"/>
  <c r="G35" i="37"/>
  <c r="H34" i="37"/>
  <c r="G34" i="37"/>
  <c r="H33" i="37"/>
  <c r="G33" i="37"/>
  <c r="H32" i="37"/>
  <c r="G32" i="37"/>
  <c r="H31" i="37"/>
  <c r="J31" i="37" s="1"/>
  <c r="G31" i="37"/>
  <c r="H30" i="37"/>
  <c r="G30" i="37"/>
  <c r="H29" i="37"/>
  <c r="J29" i="37" s="1"/>
  <c r="G29" i="37"/>
  <c r="H28" i="37"/>
  <c r="G28" i="37"/>
  <c r="H27" i="37"/>
  <c r="J27" i="37" s="1"/>
  <c r="G27" i="37"/>
  <c r="H26" i="37"/>
  <c r="G26" i="37"/>
  <c r="H25" i="37"/>
  <c r="J25" i="37" s="1"/>
  <c r="G25" i="37"/>
  <c r="H24" i="37"/>
  <c r="G24" i="37"/>
  <c r="H23" i="37"/>
  <c r="J23" i="37" s="1"/>
  <c r="G23" i="37"/>
  <c r="H22" i="37"/>
  <c r="G22" i="37"/>
  <c r="H21" i="37"/>
  <c r="J21" i="37" s="1"/>
  <c r="G21" i="37"/>
  <c r="H20" i="37"/>
  <c r="G20" i="37"/>
  <c r="H19" i="37"/>
  <c r="J19" i="37" s="1"/>
  <c r="G19" i="37"/>
  <c r="H18" i="37"/>
  <c r="G18" i="37"/>
  <c r="H17" i="37"/>
  <c r="J17" i="37" s="1"/>
  <c r="G17" i="37"/>
  <c r="H16" i="37"/>
  <c r="G16" i="37"/>
  <c r="H15" i="37"/>
  <c r="J15" i="37" s="1"/>
  <c r="G15" i="37"/>
  <c r="H14" i="37"/>
  <c r="G14" i="37"/>
  <c r="H13" i="37"/>
  <c r="J13" i="37" s="1"/>
  <c r="G13" i="37"/>
  <c r="H12" i="37"/>
  <c r="G12" i="37"/>
  <c r="G11" i="37"/>
  <c r="J11" i="37" s="1"/>
  <c r="H53" i="36"/>
  <c r="J53" i="36" s="1"/>
  <c r="G53" i="36"/>
  <c r="H52" i="36"/>
  <c r="J52" i="36"/>
  <c r="G52" i="36"/>
  <c r="H51" i="36"/>
  <c r="J51" i="36"/>
  <c r="G51" i="36"/>
  <c r="H50" i="36"/>
  <c r="J50" i="36"/>
  <c r="G50" i="36"/>
  <c r="H49" i="36"/>
  <c r="J49" i="36" s="1"/>
  <c r="H48" i="36"/>
  <c r="J48" i="36" s="1"/>
  <c r="G48" i="36"/>
  <c r="H47" i="36"/>
  <c r="J47" i="36" s="1"/>
  <c r="H42" i="36"/>
  <c r="J42" i="36"/>
  <c r="H41" i="36"/>
  <c r="G41" i="36"/>
  <c r="J41" i="36" s="1"/>
  <c r="H40" i="36"/>
  <c r="J40" i="36" s="1"/>
  <c r="H39" i="36"/>
  <c r="G39" i="36"/>
  <c r="J39" i="36" s="1"/>
  <c r="H38" i="36"/>
  <c r="G38" i="36"/>
  <c r="H37" i="36"/>
  <c r="J37" i="36" s="1"/>
  <c r="H36" i="36"/>
  <c r="J36" i="36"/>
  <c r="H35" i="36"/>
  <c r="G35" i="36"/>
  <c r="J35" i="36" s="1"/>
  <c r="H34" i="36"/>
  <c r="J34" i="36" s="1"/>
  <c r="H33" i="36"/>
  <c r="J33" i="36" s="1"/>
  <c r="H32" i="36"/>
  <c r="G32" i="36"/>
  <c r="H31" i="36"/>
  <c r="J31" i="36" s="1"/>
  <c r="H30" i="36"/>
  <c r="G30" i="36"/>
  <c r="H29" i="36"/>
  <c r="G29" i="36"/>
  <c r="H28" i="36"/>
  <c r="G28" i="36"/>
  <c r="H27" i="36"/>
  <c r="J27" i="36" s="1"/>
  <c r="H26" i="36"/>
  <c r="J26" i="36"/>
  <c r="H25" i="36"/>
  <c r="J25" i="36" s="1"/>
  <c r="H24" i="36"/>
  <c r="G24" i="36"/>
  <c r="H23" i="36"/>
  <c r="J23" i="36"/>
  <c r="H22" i="36"/>
  <c r="G22" i="36"/>
  <c r="H21" i="36"/>
  <c r="G21" i="36"/>
  <c r="J21" i="36" s="1"/>
  <c r="H20" i="36"/>
  <c r="J20" i="36" s="1"/>
  <c r="H19" i="36"/>
  <c r="J19" i="36" s="1"/>
  <c r="H18" i="36"/>
  <c r="J18" i="36" s="1"/>
  <c r="H17" i="36"/>
  <c r="J17" i="36"/>
  <c r="H16" i="36"/>
  <c r="J16" i="36" s="1"/>
  <c r="H15" i="36"/>
  <c r="G15" i="36"/>
  <c r="H14" i="36"/>
  <c r="J14" i="36"/>
  <c r="H13" i="36"/>
  <c r="J13" i="36" s="1"/>
  <c r="G13" i="36"/>
  <c r="H12" i="36"/>
  <c r="G12" i="36"/>
  <c r="J12" i="36" s="1"/>
  <c r="J11" i="36"/>
  <c r="H53" i="35"/>
  <c r="J53" i="35" s="1"/>
  <c r="G53" i="35"/>
  <c r="H52" i="35"/>
  <c r="J52" i="35" s="1"/>
  <c r="G52" i="35"/>
  <c r="H51" i="35"/>
  <c r="J51" i="35" s="1"/>
  <c r="G51" i="35"/>
  <c r="H50" i="35"/>
  <c r="J50" i="35" s="1"/>
  <c r="G50" i="35"/>
  <c r="H49" i="35"/>
  <c r="J49" i="35" s="1"/>
  <c r="G49" i="35"/>
  <c r="H48" i="35"/>
  <c r="J48" i="35"/>
  <c r="G48" i="35"/>
  <c r="H47" i="35"/>
  <c r="J47" i="35" s="1"/>
  <c r="G47" i="35"/>
  <c r="H42" i="35"/>
  <c r="G42" i="35"/>
  <c r="J42" i="35" s="1"/>
  <c r="H41" i="35"/>
  <c r="G41" i="35"/>
  <c r="H40" i="35"/>
  <c r="G40" i="35"/>
  <c r="J40" i="35" s="1"/>
  <c r="H39" i="35"/>
  <c r="J39" i="35" s="1"/>
  <c r="G39" i="35"/>
  <c r="H38" i="35"/>
  <c r="G38" i="35"/>
  <c r="J38" i="35" s="1"/>
  <c r="H37" i="35"/>
  <c r="G37" i="35"/>
  <c r="H36" i="35"/>
  <c r="G36" i="35"/>
  <c r="H35" i="35"/>
  <c r="G35" i="35"/>
  <c r="H34" i="35"/>
  <c r="G34" i="35"/>
  <c r="J34" i="35" s="1"/>
  <c r="H33" i="35"/>
  <c r="J33" i="35" s="1"/>
  <c r="G33" i="35"/>
  <c r="H32" i="35"/>
  <c r="G32" i="35"/>
  <c r="J32" i="35" s="1"/>
  <c r="H31" i="35"/>
  <c r="J31" i="35" s="1"/>
  <c r="G31" i="35"/>
  <c r="H30" i="35"/>
  <c r="G30" i="35"/>
  <c r="J30" i="35" s="1"/>
  <c r="H29" i="35"/>
  <c r="G29" i="35"/>
  <c r="H28" i="35"/>
  <c r="G28" i="35"/>
  <c r="J28" i="35" s="1"/>
  <c r="H27" i="35"/>
  <c r="J27" i="35" s="1"/>
  <c r="G27" i="35"/>
  <c r="H26" i="35"/>
  <c r="G26" i="35"/>
  <c r="J26" i="35" s="1"/>
  <c r="H25" i="35"/>
  <c r="J25" i="35" s="1"/>
  <c r="G25" i="35"/>
  <c r="H24" i="35"/>
  <c r="G24" i="35"/>
  <c r="J24" i="35" s="1"/>
  <c r="H23" i="35"/>
  <c r="G23" i="35"/>
  <c r="H22" i="35"/>
  <c r="G22" i="35"/>
  <c r="H21" i="35"/>
  <c r="G21" i="35"/>
  <c r="H20" i="35"/>
  <c r="G20" i="35"/>
  <c r="J20" i="35" s="1"/>
  <c r="H19" i="35"/>
  <c r="J19" i="35" s="1"/>
  <c r="G19" i="35"/>
  <c r="H18" i="35"/>
  <c r="G18" i="35"/>
  <c r="J18" i="35" s="1"/>
  <c r="H17" i="35"/>
  <c r="G17" i="35"/>
  <c r="H16" i="35"/>
  <c r="G16" i="35"/>
  <c r="J16" i="35" s="1"/>
  <c r="H15" i="35"/>
  <c r="G15" i="35"/>
  <c r="H14" i="35"/>
  <c r="G14" i="35"/>
  <c r="J14" i="35" s="1"/>
  <c r="H13" i="35"/>
  <c r="J13" i="35" s="1"/>
  <c r="G13" i="35"/>
  <c r="H12" i="35"/>
  <c r="G12" i="35"/>
  <c r="J12" i="35" s="1"/>
  <c r="G11" i="35"/>
  <c r="J11" i="35" s="1"/>
  <c r="H53" i="34"/>
  <c r="J53" i="34"/>
  <c r="G53" i="34"/>
  <c r="H52" i="34"/>
  <c r="J52" i="34" s="1"/>
  <c r="G52" i="34"/>
  <c r="H51" i="34"/>
  <c r="J51" i="34"/>
  <c r="G51" i="34"/>
  <c r="H50" i="34"/>
  <c r="J50" i="34" s="1"/>
  <c r="G50" i="34"/>
  <c r="H49" i="34"/>
  <c r="J49" i="34" s="1"/>
  <c r="G49" i="34"/>
  <c r="H48" i="34"/>
  <c r="J48" i="34" s="1"/>
  <c r="G48" i="34"/>
  <c r="H47" i="34"/>
  <c r="J47" i="34"/>
  <c r="G47" i="34"/>
  <c r="H42" i="34"/>
  <c r="J42" i="34" s="1"/>
  <c r="G42" i="34"/>
  <c r="H41" i="34"/>
  <c r="G41" i="34"/>
  <c r="H40" i="34"/>
  <c r="G40" i="34"/>
  <c r="H39" i="34"/>
  <c r="G39" i="34"/>
  <c r="H38" i="34"/>
  <c r="G38" i="34"/>
  <c r="J38" i="34"/>
  <c r="H37" i="34"/>
  <c r="G37" i="34"/>
  <c r="H36" i="34"/>
  <c r="G36" i="34"/>
  <c r="J36" i="34" s="1"/>
  <c r="H35" i="34"/>
  <c r="G35" i="34"/>
  <c r="H34" i="34"/>
  <c r="J34" i="34" s="1"/>
  <c r="G34" i="34"/>
  <c r="H33" i="34"/>
  <c r="G33" i="34"/>
  <c r="H32" i="34"/>
  <c r="G32" i="34"/>
  <c r="H31" i="34"/>
  <c r="G31" i="34"/>
  <c r="H30" i="34"/>
  <c r="J30" i="34" s="1"/>
  <c r="G30" i="34"/>
  <c r="H29" i="34"/>
  <c r="G29" i="34"/>
  <c r="J29" i="34" s="1"/>
  <c r="H28" i="34"/>
  <c r="J28" i="34" s="1"/>
  <c r="G28" i="34"/>
  <c r="H27" i="34"/>
  <c r="G27" i="34"/>
  <c r="J27" i="34" s="1"/>
  <c r="H26" i="34"/>
  <c r="J26" i="34" s="1"/>
  <c r="G26" i="34"/>
  <c r="H25" i="34"/>
  <c r="G25" i="34"/>
  <c r="J25" i="34" s="1"/>
  <c r="H24" i="34"/>
  <c r="G24" i="34"/>
  <c r="J24" i="34"/>
  <c r="H23" i="34"/>
  <c r="J23" i="34" s="1"/>
  <c r="G23" i="34"/>
  <c r="H22" i="34"/>
  <c r="G22" i="34"/>
  <c r="H21" i="34"/>
  <c r="G21" i="34"/>
  <c r="H20" i="34"/>
  <c r="G20" i="34"/>
  <c r="J20" i="34" s="1"/>
  <c r="H19" i="34"/>
  <c r="G19" i="34"/>
  <c r="H18" i="34"/>
  <c r="G18" i="34"/>
  <c r="J18" i="34"/>
  <c r="H17" i="34"/>
  <c r="G17" i="34"/>
  <c r="H16" i="34"/>
  <c r="G16" i="34"/>
  <c r="H15" i="34"/>
  <c r="G15" i="34"/>
  <c r="H14" i="34"/>
  <c r="G14" i="34"/>
  <c r="H13" i="34"/>
  <c r="G13" i="34"/>
  <c r="J13" i="34" s="1"/>
  <c r="H12" i="34"/>
  <c r="J12" i="34" s="1"/>
  <c r="G12" i="34"/>
  <c r="G11" i="34"/>
  <c r="J11" i="34" s="1"/>
  <c r="H53" i="32"/>
  <c r="J53" i="32" s="1"/>
  <c r="G53" i="32"/>
  <c r="H52" i="32"/>
  <c r="J52" i="32"/>
  <c r="G52" i="32"/>
  <c r="H51" i="32"/>
  <c r="J51" i="32" s="1"/>
  <c r="G51" i="32"/>
  <c r="H50" i="32"/>
  <c r="J50" i="32" s="1"/>
  <c r="G50" i="32"/>
  <c r="H49" i="32"/>
  <c r="J49" i="32" s="1"/>
  <c r="G49" i="32"/>
  <c r="H48" i="32"/>
  <c r="J48" i="32" s="1"/>
  <c r="G48" i="32"/>
  <c r="H47" i="32"/>
  <c r="J47" i="32" s="1"/>
  <c r="G47" i="32"/>
  <c r="H42" i="32"/>
  <c r="G42" i="32"/>
  <c r="H41" i="32"/>
  <c r="G41" i="32"/>
  <c r="J41" i="32" s="1"/>
  <c r="H40" i="32"/>
  <c r="G40" i="32"/>
  <c r="H39" i="32"/>
  <c r="G39" i="32"/>
  <c r="H38" i="32"/>
  <c r="G38" i="32"/>
  <c r="J38" i="32" s="1"/>
  <c r="H37" i="32"/>
  <c r="J37" i="32" s="1"/>
  <c r="G37" i="32"/>
  <c r="H36" i="32"/>
  <c r="G36" i="32"/>
  <c r="J36" i="32" s="1"/>
  <c r="H35" i="32"/>
  <c r="G35" i="32"/>
  <c r="J35" i="32" s="1"/>
  <c r="H34" i="32"/>
  <c r="G34" i="32"/>
  <c r="J34" i="32" s="1"/>
  <c r="H33" i="32"/>
  <c r="G33" i="32"/>
  <c r="J33" i="32" s="1"/>
  <c r="H32" i="32"/>
  <c r="G32" i="32"/>
  <c r="J32" i="32" s="1"/>
  <c r="H31" i="32"/>
  <c r="G31" i="32"/>
  <c r="J31" i="32" s="1"/>
  <c r="H30" i="32"/>
  <c r="G30" i="32"/>
  <c r="H29" i="32"/>
  <c r="G29" i="32"/>
  <c r="J29" i="32" s="1"/>
  <c r="H28" i="32"/>
  <c r="G28" i="32"/>
  <c r="J28" i="32" s="1"/>
  <c r="H27" i="32"/>
  <c r="G27" i="32"/>
  <c r="H26" i="32"/>
  <c r="G26" i="32"/>
  <c r="J26" i="32" s="1"/>
  <c r="H25" i="32"/>
  <c r="J25" i="32" s="1"/>
  <c r="G25" i="32"/>
  <c r="H24" i="32"/>
  <c r="G24" i="32"/>
  <c r="J24" i="32" s="1"/>
  <c r="H23" i="32"/>
  <c r="G23" i="32"/>
  <c r="J23" i="32" s="1"/>
  <c r="H22" i="32"/>
  <c r="G22" i="32"/>
  <c r="H21" i="32"/>
  <c r="G21" i="32"/>
  <c r="J21" i="32" s="1"/>
  <c r="H20" i="32"/>
  <c r="G20" i="32"/>
  <c r="J20" i="32" s="1"/>
  <c r="H19" i="32"/>
  <c r="G19" i="32"/>
  <c r="J19" i="32" s="1"/>
  <c r="H18" i="32"/>
  <c r="G18" i="32"/>
  <c r="H17" i="32"/>
  <c r="G17" i="32"/>
  <c r="J17" i="32" s="1"/>
  <c r="H16" i="32"/>
  <c r="G16" i="32"/>
  <c r="J16" i="32" s="1"/>
  <c r="H15" i="32"/>
  <c r="G15" i="32"/>
  <c r="H14" i="32"/>
  <c r="G14" i="32"/>
  <c r="J14" i="32" s="1"/>
  <c r="H13" i="32"/>
  <c r="G13" i="32"/>
  <c r="H12" i="32"/>
  <c r="G12" i="32"/>
  <c r="J12" i="32" s="1"/>
  <c r="G11" i="32"/>
  <c r="J11" i="32"/>
  <c r="J40" i="32"/>
  <c r="J22" i="36"/>
  <c r="J32" i="36"/>
  <c r="J16" i="37"/>
  <c r="J20" i="37"/>
  <c r="J22" i="37"/>
  <c r="J28" i="37"/>
  <c r="J32" i="37"/>
  <c r="J22" i="32"/>
  <c r="J36" i="35"/>
  <c r="J37" i="35"/>
  <c r="J42" i="32"/>
  <c r="J15" i="34"/>
  <c r="J19" i="34"/>
  <c r="J31" i="34"/>
  <c r="J37" i="34"/>
  <c r="J39" i="34"/>
  <c r="J34" i="37"/>
  <c r="J36" i="37"/>
  <c r="J38" i="37"/>
  <c r="J40" i="37"/>
  <c r="J42" i="37"/>
  <c r="J22" i="35"/>
  <c r="J28" i="36"/>
  <c r="J30" i="36"/>
  <c r="J33" i="37"/>
  <c r="J21" i="39"/>
  <c r="J27" i="39"/>
  <c r="J31" i="39"/>
  <c r="H21" i="30"/>
  <c r="H22" i="30"/>
  <c r="J22" i="30" s="1"/>
  <c r="H23" i="30"/>
  <c r="H24" i="30"/>
  <c r="H25" i="30"/>
  <c r="H26" i="30"/>
  <c r="H27" i="30"/>
  <c r="J27" i="30" s="1"/>
  <c r="H28" i="30"/>
  <c r="H29" i="30"/>
  <c r="H30" i="30"/>
  <c r="J30" i="30" s="1"/>
  <c r="H31" i="30"/>
  <c r="J31" i="30" s="1"/>
  <c r="H32" i="30"/>
  <c r="H33" i="30"/>
  <c r="G21" i="30"/>
  <c r="G22" i="30"/>
  <c r="G23" i="30"/>
  <c r="G24" i="30"/>
  <c r="G25" i="30"/>
  <c r="J25" i="30" s="1"/>
  <c r="G26" i="30"/>
  <c r="G27" i="30"/>
  <c r="G28" i="30"/>
  <c r="G29" i="30"/>
  <c r="G30" i="30"/>
  <c r="G31" i="30"/>
  <c r="G32" i="30"/>
  <c r="J32" i="30" s="1"/>
  <c r="G33" i="30"/>
  <c r="G20" i="30"/>
  <c r="J29" i="30"/>
  <c r="J28" i="30"/>
  <c r="G35" i="30"/>
  <c r="G36" i="30"/>
  <c r="G37" i="30"/>
  <c r="G38" i="30"/>
  <c r="G39" i="30"/>
  <c r="G40" i="30"/>
  <c r="G41" i="30"/>
  <c r="G42" i="30"/>
  <c r="G34" i="30"/>
  <c r="G12" i="30"/>
  <c r="G13" i="30"/>
  <c r="J13" i="30" s="1"/>
  <c r="G14" i="30"/>
  <c r="G15" i="30"/>
  <c r="G16" i="30"/>
  <c r="G17" i="30"/>
  <c r="J17" i="30" s="1"/>
  <c r="G18" i="30"/>
  <c r="G19" i="30"/>
  <c r="G11" i="30"/>
  <c r="J11" i="30"/>
  <c r="H48" i="30"/>
  <c r="J48" i="30" s="1"/>
  <c r="H49" i="30"/>
  <c r="J49" i="30"/>
  <c r="H50" i="30"/>
  <c r="J50" i="30" s="1"/>
  <c r="H51" i="30"/>
  <c r="J51" i="30" s="1"/>
  <c r="H52" i="30"/>
  <c r="J52" i="30" s="1"/>
  <c r="H53" i="30"/>
  <c r="J53" i="30"/>
  <c r="H47" i="30"/>
  <c r="J47" i="30" s="1"/>
  <c r="G53" i="30"/>
  <c r="G52" i="30"/>
  <c r="G51" i="30"/>
  <c r="G50" i="30"/>
  <c r="G49" i="30"/>
  <c r="G48" i="30"/>
  <c r="G47" i="30"/>
  <c r="H42" i="30"/>
  <c r="J42" i="30" s="1"/>
  <c r="H41" i="30"/>
  <c r="H40" i="30"/>
  <c r="J40" i="30"/>
  <c r="H39" i="30"/>
  <c r="J39" i="30" s="1"/>
  <c r="H38" i="30"/>
  <c r="J38" i="30"/>
  <c r="H37" i="30"/>
  <c r="H36" i="30"/>
  <c r="J36" i="30" s="1"/>
  <c r="H35" i="30"/>
  <c r="J35" i="30"/>
  <c r="H34" i="30"/>
  <c r="H20" i="30"/>
  <c r="J20" i="30" s="1"/>
  <c r="H19" i="30"/>
  <c r="H18" i="30"/>
  <c r="J18" i="30"/>
  <c r="H17" i="30"/>
  <c r="H16" i="30"/>
  <c r="H15" i="30"/>
  <c r="J15" i="30" s="1"/>
  <c r="H14" i="30"/>
  <c r="J14" i="30"/>
  <c r="H13" i="30"/>
  <c r="H12" i="30"/>
  <c r="J12" i="30"/>
  <c r="H30" i="29"/>
  <c r="I30" i="29" s="1"/>
  <c r="H29" i="29"/>
  <c r="I29" i="29"/>
  <c r="H28" i="29"/>
  <c r="I28" i="29" s="1"/>
  <c r="H27" i="29"/>
  <c r="I27" i="29"/>
  <c r="H26" i="29"/>
  <c r="I26" i="29" s="1"/>
  <c r="H25" i="29"/>
  <c r="I25" i="29"/>
  <c r="H24" i="29"/>
  <c r="I24" i="29" s="1"/>
  <c r="H23" i="29"/>
  <c r="I23" i="29"/>
  <c r="H22" i="29"/>
  <c r="I22" i="29" s="1"/>
  <c r="H20" i="29"/>
  <c r="I20" i="29"/>
  <c r="H19" i="29"/>
  <c r="I19" i="29" s="1"/>
  <c r="H18" i="29"/>
  <c r="I18" i="29"/>
  <c r="H17" i="29"/>
  <c r="I17" i="29" s="1"/>
  <c r="H16" i="29"/>
  <c r="I16" i="29"/>
  <c r="H15" i="29"/>
  <c r="I15" i="29" s="1"/>
  <c r="H14" i="29"/>
  <c r="I14" i="29"/>
  <c r="H13" i="29"/>
  <c r="I13" i="29" s="1"/>
  <c r="H12" i="29"/>
  <c r="I12" i="29"/>
  <c r="I11" i="29"/>
  <c r="H5" i="24"/>
  <c r="I111" i="23"/>
  <c r="I101" i="23"/>
  <c r="I99" i="23"/>
  <c r="I93" i="23"/>
  <c r="F92" i="23"/>
  <c r="I92" i="23"/>
  <c r="I91" i="23"/>
  <c r="I90" i="23"/>
  <c r="I89" i="23"/>
  <c r="I88" i="23"/>
  <c r="I87" i="23"/>
  <c r="I86" i="23"/>
  <c r="I85" i="23"/>
  <c r="I84" i="23"/>
  <c r="I83" i="23"/>
  <c r="I82" i="23"/>
  <c r="F81" i="23"/>
  <c r="I81" i="23"/>
  <c r="I80" i="23"/>
  <c r="I79" i="23"/>
  <c r="I78" i="23"/>
  <c r="I77" i="23"/>
  <c r="I76" i="23"/>
  <c r="I75" i="23"/>
  <c r="F65" i="23"/>
  <c r="F64" i="23"/>
  <c r="I59" i="23"/>
  <c r="I58" i="23"/>
  <c r="F55" i="23"/>
  <c r="I45" i="23"/>
  <c r="I40" i="23"/>
  <c r="I39" i="23"/>
  <c r="F34" i="23"/>
  <c r="F33" i="23"/>
  <c r="F31" i="23"/>
  <c r="F30" i="23"/>
  <c r="F29" i="23"/>
  <c r="F28" i="23"/>
  <c r="F27" i="23"/>
  <c r="F26" i="23"/>
  <c r="F25" i="23"/>
  <c r="F24" i="23"/>
  <c r="F23" i="23"/>
  <c r="F15" i="23"/>
  <c r="F14" i="23"/>
  <c r="F11" i="23"/>
  <c r="F10" i="23"/>
  <c r="I105" i="22"/>
  <c r="I103" i="22"/>
  <c r="I97" i="22"/>
  <c r="F96" i="22"/>
  <c r="I96" i="22"/>
  <c r="I95" i="22"/>
  <c r="I94" i="22"/>
  <c r="I93" i="22"/>
  <c r="I92" i="22"/>
  <c r="I91" i="22"/>
  <c r="I90" i="22"/>
  <c r="I89" i="22"/>
  <c r="I88" i="22"/>
  <c r="I87" i="22"/>
  <c r="I86" i="22"/>
  <c r="F85" i="22"/>
  <c r="I85" i="22"/>
  <c r="I84" i="22"/>
  <c r="I83" i="22"/>
  <c r="I82" i="22"/>
  <c r="I81" i="22"/>
  <c r="I80" i="22"/>
  <c r="I79" i="22"/>
  <c r="F65" i="22"/>
  <c r="F64" i="22"/>
  <c r="I59" i="22"/>
  <c r="I58" i="22"/>
  <c r="F55" i="22"/>
  <c r="I45" i="22"/>
  <c r="I40" i="22"/>
  <c r="I42" i="22" s="1"/>
  <c r="I39" i="22"/>
  <c r="F34" i="22"/>
  <c r="F33" i="22"/>
  <c r="F31" i="22"/>
  <c r="I31" i="22" s="1"/>
  <c r="F30" i="22"/>
  <c r="F29" i="22"/>
  <c r="F28" i="22"/>
  <c r="F27" i="22"/>
  <c r="F26" i="22"/>
  <c r="F25" i="22"/>
  <c r="F24" i="22"/>
  <c r="F23" i="22"/>
  <c r="F15" i="22"/>
  <c r="F14" i="22"/>
  <c r="F11" i="22"/>
  <c r="I68" i="22" s="1"/>
  <c r="F10" i="22"/>
  <c r="I64" i="23"/>
  <c r="I61" i="22"/>
  <c r="E33" i="23"/>
  <c r="I33" i="23" s="1"/>
  <c r="E33" i="22"/>
  <c r="E32" i="22"/>
  <c r="I32" i="22" s="1"/>
  <c r="E28" i="22"/>
  <c r="I28" i="22" s="1"/>
  <c r="E32" i="23"/>
  <c r="I32" i="23" s="1"/>
  <c r="E30" i="23"/>
  <c r="E28" i="23"/>
  <c r="E30" i="22"/>
  <c r="I30" i="22" s="1"/>
  <c r="E34" i="23"/>
  <c r="I34" i="23"/>
  <c r="E31" i="23"/>
  <c r="I31" i="23" s="1"/>
  <c r="E29" i="23"/>
  <c r="I29" i="23" s="1"/>
  <c r="E31" i="22"/>
  <c r="E29" i="22"/>
  <c r="E34" i="22"/>
  <c r="C15" i="6"/>
  <c r="C12" i="6"/>
  <c r="E22" i="22"/>
  <c r="I22" i="22" s="1"/>
  <c r="I36" i="22" s="1"/>
  <c r="E23" i="22"/>
  <c r="I23" i="22" s="1"/>
  <c r="E24" i="22"/>
  <c r="I24" i="22" s="1"/>
  <c r="E25" i="22"/>
  <c r="E26" i="22"/>
  <c r="I26" i="22" s="1"/>
  <c r="E27" i="22"/>
  <c r="I27" i="22" s="1"/>
  <c r="E22" i="23"/>
  <c r="I22" i="23"/>
  <c r="I36" i="23" s="1"/>
  <c r="E23" i="23"/>
  <c r="E24" i="23"/>
  <c r="E25" i="23"/>
  <c r="E26" i="23"/>
  <c r="I26" i="23" s="1"/>
  <c r="E27" i="23"/>
  <c r="I27" i="23" s="1"/>
  <c r="I23" i="23"/>
  <c r="I61" i="23"/>
  <c r="I49" i="22"/>
  <c r="I69" i="22"/>
  <c r="C18" i="6"/>
  <c r="C20" i="6" s="1"/>
  <c r="I67" i="22"/>
  <c r="I50" i="22"/>
  <c r="I51" i="22"/>
  <c r="G7" i="22"/>
  <c r="G9" i="22" s="1"/>
  <c r="J51" i="61" l="1"/>
  <c r="J52" i="61" s="1"/>
  <c r="I48" i="23"/>
  <c r="I50" i="23"/>
  <c r="I53" i="23"/>
  <c r="I65" i="23"/>
  <c r="I68" i="23"/>
  <c r="I28" i="23"/>
  <c r="J37" i="30"/>
  <c r="J13" i="32"/>
  <c r="J44" i="32" s="1"/>
  <c r="J57" i="32" s="1"/>
  <c r="J61" i="32" s="1"/>
  <c r="J62" i="32" s="1"/>
  <c r="J63" i="32" s="1"/>
  <c r="J15" i="32"/>
  <c r="J27" i="32"/>
  <c r="J39" i="32"/>
  <c r="G8" i="22"/>
  <c r="I64" i="22"/>
  <c r="I29" i="22"/>
  <c r="I49" i="23"/>
  <c r="I99" i="22"/>
  <c r="I70" i="23"/>
  <c r="I42" i="23"/>
  <c r="I95" i="23"/>
  <c r="J41" i="30"/>
  <c r="J16" i="30"/>
  <c r="J26" i="30"/>
  <c r="J14" i="34"/>
  <c r="J16" i="34"/>
  <c r="J29" i="36"/>
  <c r="J12" i="39"/>
  <c r="J42" i="39"/>
  <c r="I24" i="23"/>
  <c r="I34" i="22"/>
  <c r="I52" i="23"/>
  <c r="I48" i="22"/>
  <c r="I52" i="22"/>
  <c r="I67" i="23"/>
  <c r="J32" i="34"/>
  <c r="J41" i="34"/>
  <c r="J19" i="30"/>
  <c r="J34" i="30"/>
  <c r="J33" i="30"/>
  <c r="J21" i="30"/>
  <c r="J44" i="30" s="1"/>
  <c r="J57" i="30" s="1"/>
  <c r="J22" i="34"/>
  <c r="J16" i="39"/>
  <c r="J44" i="39" s="1"/>
  <c r="J57" i="39" s="1"/>
  <c r="J61" i="39" s="1"/>
  <c r="J62" i="39" s="1"/>
  <c r="J63" i="39" s="1"/>
  <c r="J32" i="39"/>
  <c r="I33" i="22"/>
  <c r="I25" i="23"/>
  <c r="J23" i="30"/>
  <c r="J24" i="30"/>
  <c r="J18" i="32"/>
  <c r="J30" i="32"/>
  <c r="J17" i="34"/>
  <c r="J33" i="34"/>
  <c r="J35" i="34"/>
  <c r="J40" i="34"/>
  <c r="J15" i="35"/>
  <c r="J17" i="35"/>
  <c r="J44" i="35" s="1"/>
  <c r="J57" i="35" s="1"/>
  <c r="J21" i="35"/>
  <c r="J23" i="35"/>
  <c r="J29" i="35"/>
  <c r="J35" i="35"/>
  <c r="J41" i="35"/>
  <c r="J15" i="36"/>
  <c r="J24" i="36"/>
  <c r="J38" i="36"/>
  <c r="J44" i="36" s="1"/>
  <c r="J57" i="36" s="1"/>
  <c r="J12" i="37"/>
  <c r="J14" i="37"/>
  <c r="J18" i="37"/>
  <c r="J24" i="37"/>
  <c r="J26" i="37"/>
  <c r="J30" i="37"/>
  <c r="J20" i="39"/>
  <c r="J24" i="39"/>
  <c r="J36" i="39"/>
  <c r="J38" i="39"/>
  <c r="J55" i="30"/>
  <c r="I25" i="22"/>
  <c r="I30" i="23"/>
  <c r="J55" i="38"/>
  <c r="J61" i="38" s="1"/>
  <c r="J62" i="38" s="1"/>
  <c r="J63" i="38" s="1"/>
  <c r="J55" i="32"/>
  <c r="I70" i="22"/>
  <c r="I53" i="22"/>
  <c r="I55" i="22" s="1"/>
  <c r="I65" i="22"/>
  <c r="I66" i="22"/>
  <c r="J55" i="34"/>
  <c r="J44" i="37"/>
  <c r="J57" i="37" s="1"/>
  <c r="J21" i="34"/>
  <c r="J55" i="35"/>
  <c r="J55" i="36"/>
  <c r="J55" i="37"/>
  <c r="I51" i="23"/>
  <c r="I55" i="23" s="1"/>
  <c r="I66" i="23"/>
  <c r="I69" i="23"/>
  <c r="G7" i="23"/>
  <c r="J61" i="36" l="1"/>
  <c r="J62" i="36" s="1"/>
  <c r="J63" i="36" s="1"/>
  <c r="I72" i="23"/>
  <c r="J97" i="23" s="1"/>
  <c r="F97" i="23" s="1"/>
  <c r="J44" i="34"/>
  <c r="J57" i="34" s="1"/>
  <c r="J61" i="34" s="1"/>
  <c r="J62" i="34" s="1"/>
  <c r="J63" i="34" s="1"/>
  <c r="I72" i="22"/>
  <c r="J101" i="22"/>
  <c r="F101" i="22" s="1"/>
  <c r="J61" i="30"/>
  <c r="J62" i="30" s="1"/>
  <c r="J63" i="30" s="1"/>
  <c r="J61" i="37"/>
  <c r="J62" i="37" s="1"/>
  <c r="J63" i="37" s="1"/>
  <c r="G9" i="23"/>
  <c r="G8" i="23"/>
  <c r="J61" i="35"/>
  <c r="J62" i="35" s="1"/>
  <c r="J63" i="35" s="1"/>
  <c r="F13" i="23" l="1"/>
  <c r="F16" i="23" s="1"/>
  <c r="I97" i="23"/>
  <c r="F103" i="23"/>
  <c r="I103" i="23" s="1"/>
  <c r="F13" i="22"/>
  <c r="F16" i="22" s="1"/>
  <c r="F107" i="22"/>
  <c r="I107" i="22" s="1"/>
  <c r="I101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mroncancio</author>
  </authors>
  <commentList>
    <comment ref="B2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NOMBRE DEL PROPONENTE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43" authorId="0" shapeId="0" xr:uid="{48A27182-32DA-4096-BE75-F5D645D29C85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I43" authorId="0" shapeId="0" xr:uid="{091F2C28-012E-4816-ACE7-90679D1A34AA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5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5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5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5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5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5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5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J5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 FIJO</t>
        </r>
      </text>
    </comment>
  </commentList>
</comments>
</file>

<file path=xl/sharedStrings.xml><?xml version="1.0" encoding="utf-8"?>
<sst xmlns="http://schemas.openxmlformats.org/spreadsheetml/2006/main" count="1550" uniqueCount="272">
  <si>
    <t>DESCRIPCION</t>
  </si>
  <si>
    <t>CANTIDAD</t>
  </si>
  <si>
    <t>DEDICACION</t>
  </si>
  <si>
    <t>VALOR</t>
  </si>
  <si>
    <t>TOTAL PERSONAL ADMINISTRACION DE OBRA</t>
  </si>
  <si>
    <t>SERVICIOS PUBLICOS</t>
  </si>
  <si>
    <t>TOTAL COSTOS  SERVICIOS PUBLICOS</t>
  </si>
  <si>
    <t>LEGALIZACION DEL CONTRATO</t>
  </si>
  <si>
    <t>PUBLICACION (S/TABLA)</t>
  </si>
  <si>
    <t>TOTAL COSTO LEGALIZACION CONTRATO</t>
  </si>
  <si>
    <t>POLIZAS</t>
  </si>
  <si>
    <t xml:space="preserve">CUMPLIMIENTO </t>
  </si>
  <si>
    <t>AMPARO DE SALARIOS Y PREST. SOCIALES</t>
  </si>
  <si>
    <t xml:space="preserve">AMPARO DE ANTICIPO </t>
  </si>
  <si>
    <t>ESTABILIDAD DE OBRA</t>
  </si>
  <si>
    <t>TODO RIESGO CONSTRUCTOR</t>
  </si>
  <si>
    <t>TOTAL COSTO  POLIZAS</t>
  </si>
  <si>
    <t>DOTACION CAMPAMENTO E INSTALACIONES PROVISIONALES</t>
  </si>
  <si>
    <t>COMPUTADOR - IMPRESORA</t>
  </si>
  <si>
    <t>MUEBLES</t>
  </si>
  <si>
    <t>TOTAL  DOTACION  CAMPAMENTO</t>
  </si>
  <si>
    <t>COSTOS DE IMPUESTOS</t>
  </si>
  <si>
    <t>I.C.A: Vr. Total del contrato (0,69%)</t>
  </si>
  <si>
    <t>TRANSACCIONES FINANCIERAS (4x1000)</t>
  </si>
  <si>
    <t>UNIVERSIDAD DISTRITAL  (1%)</t>
  </si>
  <si>
    <t>PROCULTURA (FONDO TERCEROS) (0,5%)</t>
  </si>
  <si>
    <t>RETEFUENTE POR OBRA (1%)</t>
  </si>
  <si>
    <t>TOTAL COSTOS DE IMPUESTOS</t>
  </si>
  <si>
    <t>GASTOS GENERALES</t>
  </si>
  <si>
    <t>TOMA DE MUESTRAS Y ENSAYOS DE LABORATORIO</t>
  </si>
  <si>
    <t>PAPELERIA OFICINA y TRAMITES</t>
  </si>
  <si>
    <t>MANUAL DE MANTENIMIENTO</t>
  </si>
  <si>
    <t>SECUENCIA FOTOGRAFICA</t>
  </si>
  <si>
    <t>ENTREGAS MEDIO MAGNETICO</t>
  </si>
  <si>
    <t>VALLA INFORMATIVA  3x6</t>
  </si>
  <si>
    <t>OFICINA DE ATENCION A LA COMUNIDAD</t>
  </si>
  <si>
    <t>TOTAL COSTOS GASTOS GENERALES</t>
  </si>
  <si>
    <t>TOTAL ADMINISTRACION</t>
  </si>
  <si>
    <t>ALCALDÍA MAYOR DE BOGOTÁ D.C.</t>
  </si>
  <si>
    <t>SECRETARÍA DE EDUCACIÓN</t>
  </si>
  <si>
    <t>DICRECCIÓN DE CONSTRUCCIÓN Y CONSERVACIÓN
DE ESTABLECIMIENTOS EDUCATIVOS</t>
  </si>
  <si>
    <t>DATOS DEL PROYECTO</t>
  </si>
  <si>
    <t>VALOR TOTAL DE LAS OBRAS</t>
  </si>
  <si>
    <t>SECRETARIA DE EDUCACION DISTRITAL  
DIRECCION DE CONSTRUCCION Y CONSERVACION 
DE ESTABLECIMIENTOS EDUCATIVOS</t>
  </si>
  <si>
    <t>RESPONSABILIDAD  EXTRACONTRACTUAL</t>
  </si>
  <si>
    <r>
      <t xml:space="preserve">CONCURSO DE MÉRITOS No. </t>
    </r>
    <r>
      <rPr>
        <b/>
        <sz val="9"/>
        <color indexed="12"/>
        <rFont val="Arial"/>
        <family val="2"/>
      </rPr>
      <t>SED-CM-DCCEE-XXX-2012</t>
    </r>
  </si>
  <si>
    <t>ANEXO No. 9</t>
  </si>
  <si>
    <t>COSTOS DE LA INTERVENTORÍA</t>
  </si>
  <si>
    <t>SUBTOTAL A</t>
  </si>
  <si>
    <t>INCLUYE COSTOS DEL RECURSO HUMANO BÁSICO, SERVICIOS, EQUIPOS E INSUMOS ADMINISTRATIVOS REQUERIDOS PARA LA NORMAL EJECUCIÓN DEL CONTRATO Y LA UTILIDAD RAZONABLE DEL CONTRATISTA</t>
  </si>
  <si>
    <t>SUBTOTAL B</t>
  </si>
  <si>
    <t>INCLUYE COSTOS DE LAS  PÓLIZAS, COSTOS DE LEGALIZACION DEL CONTRATO E IMPUESTOS.</t>
  </si>
  <si>
    <t>SUBTOTAL C</t>
  </si>
  <si>
    <t>INCLUYE EL COSTO DEL IMPUESTO A LAS VENTAS 16% (BASE GRAVADA = A + B)</t>
  </si>
  <si>
    <t>VALOR TOTAL DE LA INTERVENTORÍA  (A + B + C )</t>
  </si>
  <si>
    <t xml:space="preserve">FIRMA REPRESENTANTE LEGAL DEL PROPONENTE: </t>
  </si>
  <si>
    <t>NO VA DESDE JUNIO/12</t>
  </si>
  <si>
    <t>Costo A.I.U.</t>
  </si>
  <si>
    <t>Plazo Obra (MESES)</t>
  </si>
  <si>
    <t>TRANSPORTE</t>
  </si>
  <si>
    <t>COSTO MENSUAL DE SERVICIOS PUBLICOS OBRA</t>
  </si>
  <si>
    <t>VALOR MES</t>
  </si>
  <si>
    <t>% APROXIMADO</t>
  </si>
  <si>
    <t xml:space="preserve">VALOR TOTAL </t>
  </si>
  <si>
    <t>FACTOR 
PRESTACIONAL</t>
  </si>
  <si>
    <t>SALARIO 
MENSUAL</t>
  </si>
  <si>
    <t>LABORATORIO (Equipo Completo) -</t>
  </si>
  <si>
    <t>EQUIPO COMPLETO DE Batimetría, Hidrometría o  Sedimentometría</t>
  </si>
  <si>
    <t>PROFESIONAL</t>
  </si>
  <si>
    <t>T0007</t>
  </si>
  <si>
    <t>T0008</t>
  </si>
  <si>
    <t>T0009</t>
  </si>
  <si>
    <t xml:space="preserve">TECNÓLOGO EN ÁREAS DE INGENIERÍA  </t>
  </si>
  <si>
    <t xml:space="preserve">AUXILIAR DE INGENIERÍA  </t>
  </si>
  <si>
    <t xml:space="preserve">INSPECTOR 1  </t>
  </si>
  <si>
    <t xml:space="preserve">TOPOGRAFO AUXILIAR  </t>
  </si>
  <si>
    <t>T0023</t>
  </si>
  <si>
    <t xml:space="preserve">CADENERO 1  </t>
  </si>
  <si>
    <t>T0026</t>
  </si>
  <si>
    <t>T0028</t>
  </si>
  <si>
    <t>T0032</t>
  </si>
  <si>
    <t>T0035</t>
  </si>
  <si>
    <t>DISCRIMINACION DEL A.I.U.</t>
  </si>
  <si>
    <t>CONTRIBUCIÓN  LEY 1106 DE 2006 - LEY 1738 DE 2014 (5%) - (IMPUESTO DE GUERRA)</t>
  </si>
  <si>
    <t>DIRECTOR DE OBRA</t>
  </si>
  <si>
    <t>RESIDENTE</t>
  </si>
  <si>
    <t xml:space="preserve">ASESOR REDES ELECTRICAS </t>
  </si>
  <si>
    <t xml:space="preserve">VIGILANCIA CONTRATO EXTERNO </t>
  </si>
  <si>
    <t>ASESOR EN REDES HIDROSANITARIAS, GAS Y RED CONTRA INCENDIOS</t>
  </si>
  <si>
    <t>UTILIDAD ESTIMADA</t>
  </si>
  <si>
    <t>SEÑALIZACION MANEJO TRAFICO, SEGURIDAD INDUSTRIAL Y SALUD OCUPACIONAL</t>
  </si>
  <si>
    <t>PLAZO DE EJECUCIÓN DE LAS OBRAS (MESES)</t>
  </si>
  <si>
    <t xml:space="preserve">COMISION DE TOPOGRAFIA (Topógrafo + Cadenero 1 + Cadenero 2) </t>
  </si>
  <si>
    <t>ASESOR DE SEGURIDAD INDUSTRIAL Y SALUD OCUPACIONAL</t>
  </si>
  <si>
    <t>ALMACENISTA</t>
  </si>
  <si>
    <t>MENSAJERO</t>
  </si>
  <si>
    <t>VALOR TOTAL A.I.U.</t>
  </si>
  <si>
    <t>PLANOS PARA EL CONSTRUCTOR</t>
  </si>
  <si>
    <t>INFORMES DE GESTION SOCIAL</t>
  </si>
  <si>
    <t>INFORMES DE MANEJO AMBIENTAL</t>
  </si>
  <si>
    <t>MANEJO DE TRAFICO VÍAS ALEDAÑAS</t>
  </si>
  <si>
    <t>TELEFONIA CELULAR</t>
  </si>
  <si>
    <t>IMPREVISTOS</t>
  </si>
  <si>
    <t>VALOR PROMEDIO ESTIMADO DE FACTURACION MENSUAL</t>
  </si>
  <si>
    <t>EQUIPO DE TOPOGRAFIA</t>
  </si>
  <si>
    <t>SED-LP-DCCEE-XXX-2017</t>
  </si>
  <si>
    <t>LEVANTAMIENTO Y DIBUJO DE PLANOS RECORD</t>
  </si>
  <si>
    <t>PLOTEO ORIGINAL Y RIBETE</t>
  </si>
  <si>
    <t>VIGENCIA 2018</t>
  </si>
  <si>
    <t>MESES</t>
  </si>
  <si>
    <t>VIGENCIA 2017</t>
  </si>
  <si>
    <t>INVENTARIO FORESTAL Y ESTUDIO AVIFAUNA</t>
  </si>
  <si>
    <t>TRAMITES AUTORIZACIONES DE TRATAMIENTOS SILVICULTURALES ANTE SDA</t>
  </si>
  <si>
    <t>TRÁMITES DE PRÓRROGA DE LICENCIA Y REVALIDACIÓN DE LICENCIA - NO INCLUYE EXPENSAS</t>
  </si>
  <si>
    <t>ANTICIPO</t>
  </si>
  <si>
    <t>PROFESIONAL COSTOS Y PRESUPUESTOS</t>
  </si>
  <si>
    <t>PERSONAL CALIFICADO PARA ATENCIÓN A LA COMUNIDAD</t>
  </si>
  <si>
    <t>MAESTRO DE OBRA</t>
  </si>
  <si>
    <t>EJECUCIÓN DE LAS OBRAS Y MONTAJE DE AULAS PROVISIONALES MODULARES PARA EL COLEGIO LA CONCEPCIÓN, UBICADO EN LA LOCALIDAD 7ª BOSA DEL DISTRITO CAPITAL, IDENTIFICADO CON EL CPF 757, DE ACUERDO CON LOS PLANOS Y ESPECIFICACIONES ENTREGADOS POR LA SECRETARÍA DE EDUCACIÓN DISTRITAL.</t>
  </si>
  <si>
    <t>VALOR TOTAL ESTIMADO=</t>
  </si>
  <si>
    <t>COSTO DIRECTO APROX.=</t>
  </si>
  <si>
    <t>ADMINISTRACIÓN (%)</t>
  </si>
  <si>
    <t>IMPREVISTO (%)</t>
  </si>
  <si>
    <t>UTILIDAD (%)</t>
  </si>
  <si>
    <t>PORCENTAJE A.I.U.</t>
  </si>
  <si>
    <t>ASESOR ESTRUCTURAL</t>
  </si>
  <si>
    <t>PRO ANCIANO  (2,0%)</t>
  </si>
  <si>
    <t>PERSONAL DE ADMINISTRACION EN OBRA</t>
  </si>
  <si>
    <t>TRÁMITES DE PRÓRROGA DE LICENCIA Y REVALIDACIÓN DE LICENCIA
 - NO INCLUYE EXPENSAS</t>
  </si>
  <si>
    <t>MOBILIARIO DE OFICINA Y CAMPAMENTO</t>
  </si>
  <si>
    <t>GASTOS GENERALES DE OPERACIÓN</t>
  </si>
  <si>
    <r>
      <t xml:space="preserve">SECRETARIA DE EDUCACION DISTRITAL  
</t>
    </r>
    <r>
      <rPr>
        <b/>
        <sz val="12"/>
        <rFont val="Arial"/>
        <family val="2"/>
      </rPr>
      <t>DIRECCION DE CONSTRUCCION Y CONSERVACION 
DE ESTABLECIMIENTOS EDUCATIVOS</t>
    </r>
  </si>
  <si>
    <t>PLAZO</t>
  </si>
  <si>
    <t xml:space="preserve">PROFESIONAL ESPECIALIZADO </t>
  </si>
  <si>
    <t xml:space="preserve">INSPECTOR 2 </t>
  </si>
  <si>
    <t xml:space="preserve">DIBUJANTE 1 </t>
  </si>
  <si>
    <t>TOPÓGRAFO</t>
  </si>
  <si>
    <t>P7&lt;02</t>
  </si>
  <si>
    <t>DIRECTOR</t>
  </si>
  <si>
    <t xml:space="preserve">• Arquitecto de apoyo
• Arquitecto Urbanista
• Especialista en Estructura
• Especialistas en Riesgo/Geotecnia
• Especialista en Diseño Hidrosanitario y de gas
• Especialista en Estudios Eléctricos
• Ingeniero Ambiental
• Especialista en paisajismo
• Especialista Bioclimática
• Profesional de Costos y Presupuestos
• Profesional de apoyo
• Abogado
• Residentes de Interventoría de Obra
• Supervisor técnico estructural independiente
• Asesor en redes eléctricas, voz y datos
• Asesor especialista en geotecnia
• Asesor en Redes Hidrosanitarias, Gas y Red Contra incendios
• Asesor en Seguridad Industrial
• Asesor Ambiental
• Personal calificado para la atención a la comunidad
</t>
  </si>
  <si>
    <t>TÉCNICO</t>
  </si>
  <si>
    <t xml:space="preserve">• Inspectores de Interventoría
• Técnicos de apoyo
</t>
  </si>
  <si>
    <t>CARGO A DESEMPEÑAR</t>
  </si>
  <si>
    <t>PERFIL</t>
  </si>
  <si>
    <t>PROFESIONAL / TÉCNICO</t>
  </si>
  <si>
    <t>VALOR PARCIAL
($)</t>
  </si>
  <si>
    <t>FACTOR 
MULTIPLICADOR</t>
  </si>
  <si>
    <t>EQUIPO DE TOPOGRAFÍA</t>
  </si>
  <si>
    <t>T001</t>
  </si>
  <si>
    <t>T002</t>
  </si>
  <si>
    <t xml:space="preserve">DISTANCIOMETRO  (Incluyendo tránsito y Estación Total) </t>
  </si>
  <si>
    <t>T003</t>
  </si>
  <si>
    <t>T005</t>
  </si>
  <si>
    <t>T006</t>
  </si>
  <si>
    <t>COSTO DIARIO</t>
  </si>
  <si>
    <t>COSTO MENSUAL</t>
  </si>
  <si>
    <t>CATEGORÍA</t>
  </si>
  <si>
    <t>DESCRIPCIÓN</t>
  </si>
  <si>
    <t>T007</t>
  </si>
  <si>
    <t>T008</t>
  </si>
  <si>
    <t>CAMPERO, PICK - UP, CAMIONETA, CAMIÓN O SIMILAR 1300 - 2000</t>
  </si>
  <si>
    <t>CAMPERO, PICK - UP, CAMIONETA, CAMIÓN O SIMILAR &gt; 2000</t>
  </si>
  <si>
    <t>VEHÍCULOS CON CAPACIDAD DE CARGA DE 3 TON O MAS N.A</t>
  </si>
  <si>
    <t>EQUIPOS</t>
  </si>
  <si>
    <t>P1 10-07</t>
  </si>
  <si>
    <t>P2 08-05</t>
  </si>
  <si>
    <t>P3 06-04</t>
  </si>
  <si>
    <t>P4 04-03</t>
  </si>
  <si>
    <t>P5 03-01</t>
  </si>
  <si>
    <t>P6 2</t>
  </si>
  <si>
    <t>T1&gt;10</t>
  </si>
  <si>
    <t>T2&gt;08</t>
  </si>
  <si>
    <t>T3&gt;07</t>
  </si>
  <si>
    <t>T4&gt;06</t>
  </si>
  <si>
    <t>T5&gt;05</t>
  </si>
  <si>
    <t>T6&gt;04</t>
  </si>
  <si>
    <t>T7&gt;03</t>
  </si>
  <si>
    <t>T8&gt;02</t>
  </si>
  <si>
    <t>T9&gt;01</t>
  </si>
  <si>
    <t xml:space="preserve">SECRETARIA 1  </t>
  </si>
  <si>
    <t>El vehículo se incluirá en los proyectos cuya ubicación sea superior a 30 kilómetros del casco urbano o proyectos con condiciones especiales de acceso.</t>
  </si>
  <si>
    <t>El personal profesional, técnico, y los equipos de topografía y laboratorios se determinarán de acuerdo al alcance del proyecto a contratar.</t>
  </si>
  <si>
    <t>GASTOS ADMINISTRATIVOS</t>
  </si>
  <si>
    <t>INCLUYE TODOS LOS COSTOS DE OFICINA, SERVICIOS, TRANSPORTE INFERIORES A 30K DEL CASCO URBANO, EQUIPOS COMPUTADORES Y DEMAS, PERSONAL ADMINISTRATIVO DE APOYO E INSUMOS REQUERIDOS PARA LA NORMAL EJECUCIÓN DEL CONTRATO</t>
  </si>
  <si>
    <t>% DEL COSTO DE PERSONAL</t>
  </si>
  <si>
    <t>VALORES TOPE
HONORARIOS 
BASICO</t>
  </si>
  <si>
    <t>INFORME DE ANÁLISIS DEL LUGAR</t>
  </si>
  <si>
    <t>VISITA AL LUGAR DEL PROYECTO</t>
  </si>
  <si>
    <t>El Análisis del lugar se pagará cuando el proyecto no se viable.</t>
  </si>
  <si>
    <t>FORMATO 10 - PROPUESTA ECONÓMICA</t>
  </si>
  <si>
    <t>NOTA 1: EL PROPONENTE DEBERA TOMAR LOS PRECIOS TOPE ESTABLECIDOS EN EL  ANEXO 3, PARA DILIGENCIAR EL FORMATO 10 - PROPUESTA ECONOMICA, PARA CADA UNO DE LOS GRUPOS QUE EL PROPONENTE DESEE PRESENTARSE</t>
  </si>
  <si>
    <t>HONORARIOS BÁSICO PROPUESTO</t>
  </si>
  <si>
    <t>COSTO DIARIO PROPUESTO</t>
  </si>
  <si>
    <t>COSTO MENSUAL PROPUESTO</t>
  </si>
  <si>
    <t>COSTO PROPUESTO</t>
  </si>
  <si>
    <t>Alejandro Restrepo Gómez</t>
  </si>
  <si>
    <t>Representante</t>
  </si>
  <si>
    <t>Consorcio RYU-GD</t>
  </si>
  <si>
    <t>___________________________________________</t>
  </si>
  <si>
    <t xml:space="preserve">• Coordinador de interventoría
• Director de interventoría
• Director de Interventoría de Obra
</t>
  </si>
  <si>
    <t>Director de Interventoría de Obra</t>
  </si>
  <si>
    <t>Arquitecto de apoyo</t>
  </si>
  <si>
    <t>Arquitecto Urbanista</t>
  </si>
  <si>
    <t>Especialista en Estructura</t>
  </si>
  <si>
    <t>Especialistas en Riesgo/Geotecnia</t>
  </si>
  <si>
    <t>Especialista en Diseño Hidrosanitario y de gas</t>
  </si>
  <si>
    <t>Especialista en Estudios Eléctricos</t>
  </si>
  <si>
    <t>Ingeniero Ambiental</t>
  </si>
  <si>
    <t xml:space="preserve">% DE DICACION </t>
  </si>
  <si>
    <t xml:space="preserve">VALOR BÁSICO (A + B + C + D) </t>
  </si>
  <si>
    <t>SUBTOTAL COSTOS DE PERSONAL (A)</t>
  </si>
  <si>
    <t>SUBTOTAL EQUIPOS (B)</t>
  </si>
  <si>
    <t>GASTOS ADMINISTRATIVOS (C)</t>
  </si>
  <si>
    <t>VISITA AL LUGAR DEL PROYECTO (D)</t>
  </si>
  <si>
    <t xml:space="preserve">IVA SOBRE VALOR BÁSICO </t>
  </si>
  <si>
    <t xml:space="preserve">VALOR TOTAL DE LA INTERVENTORÍA </t>
  </si>
  <si>
    <t>PLAZO DE JECUCUCIÒN</t>
  </si>
  <si>
    <t>Especialista en paisajismo</t>
  </si>
  <si>
    <t>Especialista Bioclimática</t>
  </si>
  <si>
    <t>Profesional de Costos y Presupuestos</t>
  </si>
  <si>
    <t>Profesional de apoyo</t>
  </si>
  <si>
    <t>Residentes de Interventoría de Obra</t>
  </si>
  <si>
    <t>Supervisor técnico estructural independiente</t>
  </si>
  <si>
    <t>Asesor en redes eléctricas, voz y datos</t>
  </si>
  <si>
    <t>Asesor especialista en geotecnia</t>
  </si>
  <si>
    <t>Asesor en Redes Hidrosanitarias, Gas y Red Contra incendios</t>
  </si>
  <si>
    <t>Asesor Ambiental</t>
  </si>
  <si>
    <t>Personal calificado para la atención a la comunidad</t>
  </si>
  <si>
    <t>Asesor Juridico Abogado</t>
  </si>
  <si>
    <t>PLAZO DE EJECUCUCIÒN</t>
  </si>
  <si>
    <t>Profesional Especializado (HSEQ)</t>
  </si>
  <si>
    <t>I.E. JOSÉ MARÍA VILLEGAS - BUGA</t>
  </si>
  <si>
    <t>I.E. INSTITUTO TÉCNICO AGROPECUARIO BUGA</t>
  </si>
  <si>
    <t xml:space="preserve">% DEDICACION </t>
  </si>
  <si>
    <t>I.E. EL PALMAR - VALLE</t>
  </si>
  <si>
    <t>I.E. CARLOS HOLGUÍN SARDI</t>
  </si>
  <si>
    <t>I.E. MIGUEL DE CERVANTES SAAVEDRA SEDE ANTONIA SANTOS</t>
  </si>
  <si>
    <t>I.E. FRANCISCO ANTONIO ZEA VALLE</t>
  </si>
  <si>
    <t>I.E. INMACULADA CONCEPCIÓN  VALLE</t>
  </si>
  <si>
    <t>I.E. MEGACOLEGIO PALMIRA</t>
  </si>
  <si>
    <t>7 MESES</t>
  </si>
  <si>
    <t>3 MESES</t>
  </si>
  <si>
    <t>5 MESES</t>
  </si>
  <si>
    <t>6 MESES</t>
  </si>
  <si>
    <t>INSTITUCION EDUCATIVA</t>
  </si>
  <si>
    <t>Ingeniero Forestal</t>
  </si>
  <si>
    <t>SUPERVISOR TÉCNICO INDEPENDIENTE (E)</t>
  </si>
  <si>
    <t xml:space="preserve">VALOR BÁSICO (A + B + C + D + E + F) </t>
  </si>
  <si>
    <t xml:space="preserve">ANEXO No.3 - PRECIOS TOPE DETERMINADOS POR EL FFIE PARA LOS GRUPOS </t>
  </si>
  <si>
    <t>OBJETO: “INVITACIÓN ABIERTA XXX DE 2021, CUYO OBJETO LA CONFORMACIÓN DE LISTAS DE ELEGIBLES QUE HABILITEN PROPONENTES PARA LA SUSCRIPCIÓN DE CONTRATOS DE INTERVENTORÍA TÉCNICA, ADMINISTRATIVA, FINANCIERA, JURÍDICA Y AMBIENTAL A LOS CONTRATOS DE OBRA NECESARIOS PARA EL MEJORAMIENTO DE RESIDENCIAS ESCOLARES Y/O SEDES DE INSTITUCIONES EDUCATIVAS EN EL TERRITORIO NACIONAL DEBIDAMENTE PRIORIZADOS</t>
  </si>
  <si>
    <t>NOTA 1: EL PROPONENTE DEBERA TOMAR LOS VALORES TOPE ESTABLECIDOS EN EL PRESENTE ANEXO, PARA DILIGENCIAR EL FORMATO 10 - PROPUESTA ECONOMICA, PARA CADA UNO DE LOS GRUPOS QUE EL PROPONENTE DESEE PRESENTARSE</t>
  </si>
  <si>
    <t>• Coordinador de interventoría
• Director de interventoría
• Director de Interventoría de Obra</t>
  </si>
  <si>
    <t>• Arquitecto de apoyo
• Arquitecto Urbanista
• Especialista en Estructura
• Especialistas en Riesgo/Geotecnia
• Especialista en Diseño Hidrosanitario y de gas
• Especialista en Estudios Eléctricos
• Ingeniero Ambiental
• Especialista en paisajismo
• Especialista Bioclimática
• Profesional de Costos y Presupuestos
• Profesional de apoyo
• Abogado Condiciones contractuales/ estudio de títulos
• Residentes de Interventoría de Obra
• Supervisor técnico estructural independiente
• Asesor en redes eléctricas, voz y datos
• Asesor especialista en geotecnia
• Asesor en Redes Hidrosanitarias, Gas y Red Contra incendios
• Asesor en Seguridad Industrial
• Asesor Ambiental
• Personal calificado para la atención a la comunidad</t>
  </si>
  <si>
    <t>INCLUYE TODOS LOS COSTOS DE OFICINA, SERVICIOS, TRANSPORTE, EQUIPOS COMPUTADORES Y DEMAS, PERSONAL ADMINISTRATIVO DE APOYO E INSUMOS REQUERIDOS PARA LA NORMAL EJECUCIÓN DEL CONTRATO</t>
  </si>
  <si>
    <t xml:space="preserve">Los precios señalados en el formato se encuentran vigentes hasta el 31 de diciembre de 2023. El ajuste de precios se aplicará conforme a lo señalado en los "Supuestos macroeconomicos del Ministerio de hacienda y Credito Publico - MFMP 2022 (Junio de 2022); y Marco Fiscal de Mediano Plazo 2023. Bogota DC. </t>
  </si>
  <si>
    <t xml:space="preserve">El cálculo de ajuste de precios solo aplicara sobre el periodo que supere la vigencia 2023. </t>
  </si>
  <si>
    <t>El personal, plazo de ejecución, alcance y valor máximo para cada Contrato de Interventoría será determinado al inicio del 
contrato, de acuerdo con el alcance, personal, gastos administrativos, equipos y demás, requeridos para cada proyecto, los 
valores unitarios para estas actividades se tomarán de os valores unitarios topes establecidos por la UG-FFIE.</t>
  </si>
  <si>
    <t>IE POLICARPA</t>
  </si>
  <si>
    <t>INDEXACIÓN POR CAMBIO DE VIGENCIA SEGÚN TCC - 3,2% POR VIGENCIA</t>
  </si>
  <si>
    <t>El costeo corrresponde al alcance y necesidad del proyecto.</t>
  </si>
  <si>
    <t>LABORATORIO (Equipo Completo)</t>
  </si>
  <si>
    <t>Los precios señalados en el formato se encuentran vigentes hasta el 31 de diciembre de 2024. El ajuste de precios se aplicará conforme a lo señalado en los "Supuestos macroeconomicos del Ministerio de hacienda y Crédito Publico - MFMP 2022 (junio de 2022); y Marco Fiscal de Mediano Plazo 2023. Bogotá DC. El cálculo de ajuste de precios solo aplicara sobre el periodo que supere la vigencia 2024.</t>
  </si>
  <si>
    <t>ETAPA DE MITIGACIÓN - DISEÑO AREA DE CESIÓN - EJECUCIÓN RESOLUCIÓN AMBIENTAL</t>
  </si>
  <si>
    <t>FASE DE CONSTRUCCIÓN</t>
  </si>
  <si>
    <t>Anexo Presupuesto</t>
  </si>
  <si>
    <t>Topógrafo</t>
  </si>
  <si>
    <t>Inspector de Obra</t>
  </si>
  <si>
    <t>Inspector HSEQ</t>
  </si>
  <si>
    <t xml:space="preserve">Cadenero </t>
  </si>
  <si>
    <t xml:space="preserve">Secretaria 1  </t>
  </si>
  <si>
    <t>Equipo de Topografía</t>
  </si>
  <si>
    <t xml:space="preserve">Laboratorios - Incluye seguimiento al plan de monitoreo (revisión a informes de instrumentación) - seguimiento a resultados de muestras de resistencia de concreto, ensayo de tracción de acero de refuerzo y ensayos de compresión de muretes.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</si>
</sst>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* #,##0.00_-;\-&quot;$&quot;* #,##0.00_-;_-&quot;$&quot;* &quot;-&quot;??_-;_-@_-"/>
    <numFmt numFmtId="167" formatCode="_ [$$-240A]\ * #,##0.00_ ;_ [$$-240A]\ * \-#,##0.00_ ;_ [$$-240A]\ * &quot;-&quot;??_ ;_ @_ "/>
    <numFmt numFmtId="168" formatCode="_ &quot;$&quot;\ * #,##0.00_ ;_ &quot;$&quot;\ * \-#,##0.00_ ;_ &quot;$&quot;\ * &quot;-&quot;??_ ;_ @_ "/>
    <numFmt numFmtId="169" formatCode="0.0000%"/>
    <numFmt numFmtId="170" formatCode="0.0"/>
    <numFmt numFmtId="171" formatCode="0.000%"/>
    <numFmt numFmtId="172" formatCode="_ * #,##0.00_ ;_ * \-#,##0.00_ ;_ * &quot;-&quot;??_ ;_ @_ "/>
    <numFmt numFmtId="173" formatCode="_ * #,##0_ ;_ * \-#,##0_ ;_ * &quot;-&quot;_ ;_ @_ "/>
    <numFmt numFmtId="174" formatCode="_-* #,##0_-;\-* #,##0_-;_-* &quot;-&quot;??_-;_-@_-"/>
    <numFmt numFmtId="175" formatCode="0.0%"/>
    <numFmt numFmtId="176" formatCode="#,##0.0"/>
    <numFmt numFmtId="177" formatCode="_-&quot;$&quot;\ * #,##0.0_-;\-&quot;$&quot;\ * #,##0.0_-;_-&quot;$&quot;\ * &quot;-&quot;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2"/>
      <name val="Arial"/>
      <family val="2"/>
    </font>
    <font>
      <b/>
      <sz val="8"/>
      <color indexed="81"/>
      <name val="Tahoma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0"/>
      <color rgb="FF0000CC"/>
      <name val="Arial"/>
      <family val="2"/>
    </font>
    <font>
      <sz val="11"/>
      <color rgb="FF0000CC"/>
      <name val="Arial"/>
      <family val="2"/>
    </font>
    <font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Arial Narrow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0" fillId="0" borderId="0"/>
    <xf numFmtId="17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4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3" fontId="13" fillId="0" borderId="0" xfId="0" applyNumberFormat="1" applyFont="1" applyAlignment="1" applyProtection="1">
      <alignment vertical="center"/>
      <protection hidden="1"/>
    </xf>
    <xf numFmtId="3" fontId="13" fillId="0" borderId="0" xfId="5" applyNumberFormat="1" applyFont="1" applyAlignment="1" applyProtection="1">
      <alignment horizontal="left" vertical="center" wrapText="1"/>
      <protection hidden="1"/>
    </xf>
    <xf numFmtId="3" fontId="14" fillId="0" borderId="0" xfId="5" applyNumberFormat="1" applyFont="1" applyAlignment="1" applyProtection="1">
      <alignment horizontal="center" vertical="center" wrapText="1"/>
      <protection hidden="1"/>
    </xf>
    <xf numFmtId="168" fontId="15" fillId="0" borderId="1" xfId="2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Alignment="1" applyProtection="1">
      <alignment vertical="center"/>
      <protection hidden="1"/>
    </xf>
    <xf numFmtId="3" fontId="14" fillId="0" borderId="0" xfId="0" applyNumberFormat="1" applyFont="1" applyAlignment="1" applyProtection="1">
      <alignment horizontal="justify" vertical="center" wrapText="1"/>
      <protection hidden="1"/>
    </xf>
    <xf numFmtId="3" fontId="14" fillId="0" borderId="0" xfId="0" applyNumberFormat="1" applyFont="1" applyAlignment="1" applyProtection="1">
      <alignment vertical="center" wrapText="1"/>
      <protection hidden="1"/>
    </xf>
    <xf numFmtId="167" fontId="13" fillId="0" borderId="0" xfId="6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167" fontId="13" fillId="0" borderId="0" xfId="0" applyNumberFormat="1" applyFont="1" applyAlignment="1" applyProtection="1">
      <alignment vertical="center"/>
      <protection hidden="1"/>
    </xf>
    <xf numFmtId="167" fontId="14" fillId="0" borderId="0" xfId="5" applyNumberFormat="1" applyFont="1" applyAlignment="1" applyProtection="1">
      <alignment horizontal="center" vertical="center" wrapText="1"/>
      <protection hidden="1"/>
    </xf>
    <xf numFmtId="3" fontId="13" fillId="0" borderId="3" xfId="0" applyNumberFormat="1" applyFont="1" applyBorder="1" applyAlignment="1" applyProtection="1">
      <alignment horizontal="justify" vertical="center" wrapText="1"/>
      <protection hidden="1"/>
    </xf>
    <xf numFmtId="167" fontId="14" fillId="0" borderId="4" xfId="7" applyNumberFormat="1" applyFont="1" applyFill="1" applyBorder="1" applyAlignment="1" applyProtection="1">
      <alignment vertical="center"/>
      <protection hidden="1"/>
    </xf>
    <xf numFmtId="167" fontId="14" fillId="0" borderId="0" xfId="7" applyNumberFormat="1" applyFont="1" applyFill="1" applyBorder="1" applyAlignment="1" applyProtection="1">
      <alignment vertical="center"/>
      <protection hidden="1"/>
    </xf>
    <xf numFmtId="4" fontId="14" fillId="0" borderId="4" xfId="7" applyNumberFormat="1" applyFont="1" applyFill="1" applyBorder="1" applyAlignment="1" applyProtection="1">
      <alignment vertical="center"/>
      <protection hidden="1"/>
    </xf>
    <xf numFmtId="4" fontId="19" fillId="0" borderId="0" xfId="7" applyNumberFormat="1" applyFont="1" applyFill="1" applyBorder="1" applyAlignment="1" applyProtection="1">
      <alignment vertical="center"/>
      <protection hidden="1"/>
    </xf>
    <xf numFmtId="3" fontId="14" fillId="0" borderId="5" xfId="0" applyNumberFormat="1" applyFont="1" applyBorder="1" applyAlignment="1" applyProtection="1">
      <alignment vertical="center" wrapText="1"/>
      <protection hidden="1"/>
    </xf>
    <xf numFmtId="3" fontId="13" fillId="0" borderId="2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169" fontId="4" fillId="0" borderId="0" xfId="3" applyNumberFormat="1" applyFont="1" applyFill="1" applyBorder="1" applyAlignment="1" applyProtection="1">
      <alignment horizontal="center" vertical="center"/>
      <protection hidden="1"/>
    </xf>
    <xf numFmtId="170" fontId="5" fillId="0" borderId="0" xfId="0" applyNumberFormat="1" applyFont="1" applyAlignment="1" applyProtection="1">
      <alignment horizontal="left" vertical="center"/>
      <protection hidden="1"/>
    </xf>
    <xf numFmtId="170" fontId="6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5" borderId="0" xfId="0" applyFont="1" applyFill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left" vertical="center"/>
      <protection hidden="1"/>
    </xf>
    <xf numFmtId="170" fontId="10" fillId="0" borderId="0" xfId="0" applyNumberFormat="1" applyFont="1" applyAlignment="1" applyProtection="1">
      <alignment horizontal="left" vertical="center"/>
      <protection hidden="1"/>
    </xf>
    <xf numFmtId="166" fontId="10" fillId="0" borderId="0" xfId="2" applyFont="1" applyFill="1" applyBorder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0" fontId="10" fillId="0" borderId="1" xfId="0" applyNumberFormat="1" applyFont="1" applyBorder="1" applyAlignment="1" applyProtection="1">
      <alignment horizontal="center" vertical="center"/>
      <protection hidden="1"/>
    </xf>
    <xf numFmtId="10" fontId="10" fillId="0" borderId="1" xfId="3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4" fontId="10" fillId="0" borderId="1" xfId="0" applyNumberFormat="1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horizontal="left" vertical="center" indent="1"/>
      <protection hidden="1"/>
    </xf>
    <xf numFmtId="0" fontId="10" fillId="5" borderId="1" xfId="0" applyFont="1" applyFill="1" applyBorder="1" applyAlignment="1" applyProtection="1">
      <alignment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168" fontId="15" fillId="5" borderId="1" xfId="2" applyNumberFormat="1" applyFont="1" applyFill="1" applyBorder="1" applyAlignment="1" applyProtection="1">
      <alignment vertical="center"/>
      <protection hidden="1"/>
    </xf>
    <xf numFmtId="166" fontId="10" fillId="5" borderId="0" xfId="2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6" fontId="5" fillId="4" borderId="1" xfId="2" applyFont="1" applyFill="1" applyBorder="1" applyAlignment="1" applyProtection="1">
      <alignment horizontal="center" vertical="center"/>
      <protection hidden="1"/>
    </xf>
    <xf numFmtId="166" fontId="5" fillId="0" borderId="1" xfId="2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166" fontId="10" fillId="7" borderId="1" xfId="2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170" fontId="8" fillId="0" borderId="0" xfId="0" applyNumberFormat="1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43" fontId="27" fillId="0" borderId="0" xfId="1" applyFont="1" applyFill="1" applyAlignment="1" applyProtection="1">
      <alignment vertical="center"/>
      <protection hidden="1"/>
    </xf>
    <xf numFmtId="0" fontId="27" fillId="5" borderId="0" xfId="0" applyFont="1" applyFill="1" applyAlignment="1" applyProtection="1">
      <alignment vertical="center"/>
      <protection hidden="1"/>
    </xf>
    <xf numFmtId="0" fontId="27" fillId="5" borderId="0" xfId="0" applyFont="1" applyFill="1" applyProtection="1">
      <protection hidden="1"/>
    </xf>
    <xf numFmtId="43" fontId="27" fillId="0" borderId="0" xfId="1" applyFont="1" applyFill="1" applyBorder="1" applyAlignment="1" applyProtection="1">
      <alignment vertical="center"/>
      <protection hidden="1"/>
    </xf>
    <xf numFmtId="0" fontId="27" fillId="0" borderId="1" xfId="0" applyFont="1" applyBorder="1" applyAlignment="1" applyProtection="1">
      <alignment vertical="center"/>
      <protection hidden="1"/>
    </xf>
    <xf numFmtId="170" fontId="27" fillId="0" borderId="0" xfId="0" applyNumberFormat="1" applyFont="1" applyAlignment="1" applyProtection="1">
      <alignment horizontal="left" vertical="center"/>
      <protection hidden="1"/>
    </xf>
    <xf numFmtId="43" fontId="27" fillId="2" borderId="0" xfId="1" applyFont="1" applyFill="1" applyAlignment="1" applyProtection="1">
      <alignment vertical="center"/>
      <protection hidden="1"/>
    </xf>
    <xf numFmtId="10" fontId="27" fillId="0" borderId="0" xfId="3" applyNumberFormat="1" applyFont="1" applyFill="1" applyAlignment="1" applyProtection="1">
      <alignment vertical="center"/>
      <protection hidden="1"/>
    </xf>
    <xf numFmtId="166" fontId="27" fillId="0" borderId="1" xfId="2" applyFont="1" applyFill="1" applyBorder="1" applyAlignment="1" applyProtection="1">
      <alignment vertical="center"/>
      <protection hidden="1"/>
    </xf>
    <xf numFmtId="0" fontId="27" fillId="4" borderId="1" xfId="0" applyFont="1" applyFill="1" applyBorder="1" applyAlignment="1" applyProtection="1">
      <alignment vertical="center"/>
      <protection hidden="1"/>
    </xf>
    <xf numFmtId="170" fontId="27" fillId="0" borderId="1" xfId="0" applyNumberFormat="1" applyFont="1" applyBorder="1" applyAlignment="1" applyProtection="1">
      <alignment horizontal="center" vertical="center"/>
      <protection hidden="1"/>
    </xf>
    <xf numFmtId="166" fontId="27" fillId="0" borderId="0" xfId="2" applyFont="1" applyFill="1" applyBorder="1" applyAlignment="1" applyProtection="1">
      <alignment vertical="center"/>
      <protection hidden="1"/>
    </xf>
    <xf numFmtId="0" fontId="27" fillId="7" borderId="1" xfId="0" applyFont="1" applyFill="1" applyBorder="1" applyAlignment="1" applyProtection="1">
      <alignment vertical="center"/>
      <protection hidden="1"/>
    </xf>
    <xf numFmtId="0" fontId="27" fillId="4" borderId="1" xfId="0" applyFont="1" applyFill="1" applyBorder="1" applyAlignment="1" applyProtection="1">
      <alignment horizontal="center" vertical="center"/>
      <protection hidden="1"/>
    </xf>
    <xf numFmtId="166" fontId="27" fillId="4" borderId="1" xfId="2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2" fontId="27" fillId="0" borderId="1" xfId="0" applyNumberFormat="1" applyFont="1" applyBorder="1" applyAlignment="1" applyProtection="1">
      <alignment horizontal="center" vertical="center"/>
      <protection hidden="1"/>
    </xf>
    <xf numFmtId="1" fontId="27" fillId="0" borderId="1" xfId="0" applyNumberFormat="1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vertical="center" wrapText="1"/>
      <protection hidden="1"/>
    </xf>
    <xf numFmtId="166" fontId="27" fillId="0" borderId="1" xfId="2" applyFont="1" applyFill="1" applyBorder="1" applyAlignment="1" applyProtection="1">
      <alignment horizontal="right" vertical="center"/>
      <protection hidden="1"/>
    </xf>
    <xf numFmtId="0" fontId="27" fillId="5" borderId="0" xfId="0" applyFont="1" applyFill="1" applyAlignment="1" applyProtection="1">
      <alignment horizontal="left" vertical="center"/>
      <protection hidden="1"/>
    </xf>
    <xf numFmtId="166" fontId="27" fillId="0" borderId="0" xfId="2" applyFont="1" applyFill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Alignment="1" applyProtection="1">
      <alignment vertical="center" wrapText="1"/>
      <protection hidden="1"/>
    </xf>
    <xf numFmtId="0" fontId="25" fillId="5" borderId="0" xfId="0" applyFont="1" applyFill="1" applyAlignment="1" applyProtection="1">
      <alignment horizontal="center" vertical="center"/>
      <protection hidden="1"/>
    </xf>
    <xf numFmtId="9" fontId="27" fillId="5" borderId="0" xfId="3" applyFont="1" applyFill="1" applyBorder="1" applyAlignment="1" applyProtection="1">
      <alignment horizontal="center" vertical="center"/>
      <protection hidden="1"/>
    </xf>
    <xf numFmtId="168" fontId="15" fillId="5" borderId="0" xfId="2" applyNumberFormat="1" applyFont="1" applyFill="1" applyBorder="1" applyAlignment="1" applyProtection="1">
      <alignment vertical="center"/>
      <protection hidden="1"/>
    </xf>
    <xf numFmtId="10" fontId="10" fillId="5" borderId="0" xfId="0" applyNumberFormat="1" applyFont="1" applyFill="1" applyAlignment="1" applyProtection="1">
      <alignment horizontal="center" vertical="center"/>
      <protection hidden="1"/>
    </xf>
    <xf numFmtId="168" fontId="27" fillId="5" borderId="0" xfId="0" applyNumberFormat="1" applyFont="1" applyFill="1" applyAlignment="1" applyProtection="1">
      <alignment vertical="center"/>
      <protection hidden="1"/>
    </xf>
    <xf numFmtId="166" fontId="30" fillId="8" borderId="1" xfId="2" applyFont="1" applyFill="1" applyBorder="1" applyAlignment="1" applyProtection="1">
      <alignment horizontal="right" vertical="center"/>
      <protection hidden="1"/>
    </xf>
    <xf numFmtId="10" fontId="31" fillId="8" borderId="1" xfId="0" applyNumberFormat="1" applyFont="1" applyFill="1" applyBorder="1" applyAlignment="1" applyProtection="1">
      <alignment horizontal="center" vertical="center"/>
      <protection hidden="1"/>
    </xf>
    <xf numFmtId="1" fontId="31" fillId="8" borderId="1" xfId="4" applyNumberFormat="1" applyFont="1" applyFill="1" applyBorder="1" applyAlignment="1" applyProtection="1">
      <alignment horizontal="center" vertical="center"/>
      <protection hidden="1"/>
    </xf>
    <xf numFmtId="10" fontId="25" fillId="0" borderId="1" xfId="0" applyNumberFormat="1" applyFont="1" applyBorder="1" applyAlignment="1" applyProtection="1">
      <alignment horizontal="center" vertical="center"/>
      <protection hidden="1"/>
    </xf>
    <xf numFmtId="171" fontId="25" fillId="5" borderId="1" xfId="3" applyNumberFormat="1" applyFont="1" applyFill="1" applyBorder="1" applyAlignment="1" applyProtection="1">
      <alignment horizontal="center" vertical="center"/>
      <protection hidden="1"/>
    </xf>
    <xf numFmtId="171" fontId="25" fillId="0" borderId="1" xfId="3" applyNumberFormat="1" applyFont="1" applyFill="1" applyBorder="1" applyAlignment="1" applyProtection="1">
      <alignment horizontal="center" vertical="center"/>
      <protection hidden="1"/>
    </xf>
    <xf numFmtId="171" fontId="12" fillId="0" borderId="1" xfId="0" applyNumberFormat="1" applyFont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166" fontId="9" fillId="0" borderId="0" xfId="2" applyFont="1" applyFill="1" applyBorder="1" applyAlignment="1" applyProtection="1">
      <alignment horizontal="center" vertical="center"/>
      <protection hidden="1"/>
    </xf>
    <xf numFmtId="166" fontId="5" fillId="0" borderId="0" xfId="2" applyFont="1" applyFill="1" applyBorder="1" applyAlignment="1" applyProtection="1">
      <alignment vertical="center"/>
      <protection hidden="1"/>
    </xf>
    <xf numFmtId="10" fontId="27" fillId="0" borderId="0" xfId="3" applyNumberFormat="1" applyFont="1" applyFill="1" applyAlignment="1" applyProtection="1">
      <alignment horizontal="center" vertical="center"/>
      <protection hidden="1"/>
    </xf>
    <xf numFmtId="166" fontId="32" fillId="0" borderId="0" xfId="2" applyFont="1" applyFill="1" applyBorder="1" applyAlignment="1" applyProtection="1">
      <alignment vertical="center"/>
      <protection hidden="1"/>
    </xf>
    <xf numFmtId="0" fontId="27" fillId="5" borderId="0" xfId="0" applyFont="1" applyFill="1" applyAlignment="1" applyProtection="1">
      <alignment horizontal="center" vertical="center"/>
      <protection hidden="1"/>
    </xf>
    <xf numFmtId="43" fontId="27" fillId="5" borderId="0" xfId="1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166" fontId="5" fillId="4" borderId="0" xfId="2" applyFont="1" applyFill="1" applyBorder="1" applyAlignment="1" applyProtection="1">
      <alignment horizontal="center" vertical="center"/>
      <protection hidden="1"/>
    </xf>
    <xf numFmtId="169" fontId="5" fillId="5" borderId="0" xfId="3" applyNumberFormat="1" applyFont="1" applyFill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vertical="center"/>
      <protection hidden="1"/>
    </xf>
    <xf numFmtId="10" fontId="5" fillId="0" borderId="6" xfId="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75" fontId="27" fillId="5" borderId="1" xfId="3" applyNumberFormat="1" applyFont="1" applyFill="1" applyBorder="1" applyAlignment="1" applyProtection="1">
      <alignment horizontal="center" vertical="center"/>
      <protection hidden="1"/>
    </xf>
    <xf numFmtId="166" fontId="7" fillId="4" borderId="7" xfId="2" applyFont="1" applyFill="1" applyBorder="1" applyAlignment="1" applyProtection="1">
      <alignment horizontal="center" vertical="center"/>
      <protection hidden="1"/>
    </xf>
    <xf numFmtId="166" fontId="27" fillId="0" borderId="7" xfId="2" applyFont="1" applyFill="1" applyBorder="1" applyAlignment="1" applyProtection="1">
      <alignment vertical="center"/>
      <protection hidden="1"/>
    </xf>
    <xf numFmtId="168" fontId="27" fillId="0" borderId="7" xfId="0" applyNumberFormat="1" applyFont="1" applyBorder="1" applyAlignment="1" applyProtection="1">
      <alignment vertical="center"/>
      <protection hidden="1"/>
    </xf>
    <xf numFmtId="43" fontId="27" fillId="5" borderId="0" xfId="1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horizontal="center" vertical="center" wrapText="1"/>
      <protection hidden="1"/>
    </xf>
    <xf numFmtId="10" fontId="5" fillId="0" borderId="0" xfId="3" applyNumberFormat="1" applyFont="1" applyFill="1" applyBorder="1" applyAlignment="1" applyProtection="1">
      <alignment horizontal="center" vertical="center"/>
      <protection hidden="1"/>
    </xf>
    <xf numFmtId="43" fontId="27" fillId="6" borderId="0" xfId="1" applyFont="1" applyFill="1" applyBorder="1" applyAlignment="1" applyProtection="1">
      <alignment vertical="center"/>
      <protection locked="0"/>
    </xf>
    <xf numFmtId="43" fontId="28" fillId="5" borderId="0" xfId="1" applyFont="1" applyFill="1" applyBorder="1" applyAlignment="1" applyProtection="1">
      <alignment horizontal="center" vertical="center"/>
      <protection hidden="1"/>
    </xf>
    <xf numFmtId="43" fontId="27" fillId="6" borderId="0" xfId="1" applyFont="1" applyFill="1" applyBorder="1" applyAlignment="1" applyProtection="1">
      <alignment vertical="center"/>
      <protection hidden="1"/>
    </xf>
    <xf numFmtId="10" fontId="28" fillId="5" borderId="0" xfId="3" applyNumberFormat="1" applyFont="1" applyFill="1" applyBorder="1" applyAlignment="1" applyProtection="1">
      <alignment horizontal="center" vertical="center"/>
      <protection hidden="1"/>
    </xf>
    <xf numFmtId="166" fontId="27" fillId="5" borderId="0" xfId="0" applyNumberFormat="1" applyFont="1" applyFill="1" applyAlignment="1" applyProtection="1">
      <alignment vertical="center"/>
      <protection hidden="1"/>
    </xf>
    <xf numFmtId="43" fontId="29" fillId="5" borderId="0" xfId="1" applyFont="1" applyFill="1" applyBorder="1" applyAlignment="1" applyProtection="1">
      <alignment horizontal="center" vertical="center"/>
      <protection hidden="1"/>
    </xf>
    <xf numFmtId="43" fontId="6" fillId="0" borderId="0" xfId="1" applyFont="1" applyFill="1" applyBorder="1" applyAlignment="1" applyProtection="1">
      <alignment vertical="center"/>
      <protection hidden="1"/>
    </xf>
    <xf numFmtId="167" fontId="5" fillId="0" borderId="0" xfId="2" applyNumberFormat="1" applyFont="1" applyFill="1" applyBorder="1" applyAlignment="1" applyProtection="1">
      <alignment horizontal="center" vertical="center"/>
      <protection hidden="1"/>
    </xf>
    <xf numFmtId="43" fontId="8" fillId="0" borderId="0" xfId="1" applyFont="1" applyFill="1" applyBorder="1" applyAlignment="1" applyProtection="1">
      <alignment vertical="center"/>
      <protection hidden="1"/>
    </xf>
    <xf numFmtId="43" fontId="27" fillId="2" borderId="0" xfId="1" applyFont="1" applyFill="1" applyBorder="1" applyAlignment="1" applyProtection="1">
      <alignment horizontal="center" vertical="center"/>
      <protection hidden="1"/>
    </xf>
    <xf numFmtId="174" fontId="27" fillId="2" borderId="0" xfId="1" applyNumberFormat="1" applyFont="1" applyFill="1" applyBorder="1" applyAlignment="1" applyProtection="1">
      <alignment vertical="center"/>
      <protection hidden="1"/>
    </xf>
    <xf numFmtId="10" fontId="27" fillId="5" borderId="0" xfId="3" applyNumberFormat="1" applyFont="1" applyFill="1" applyBorder="1" applyAlignment="1" applyProtection="1">
      <alignment vertical="center"/>
      <protection hidden="1"/>
    </xf>
    <xf numFmtId="10" fontId="27" fillId="5" borderId="0" xfId="0" applyNumberFormat="1" applyFont="1" applyFill="1" applyAlignment="1" applyProtection="1">
      <alignment vertical="center"/>
      <protection hidden="1"/>
    </xf>
    <xf numFmtId="43" fontId="27" fillId="2" borderId="0" xfId="1" applyFont="1" applyFill="1" applyBorder="1" applyAlignment="1" applyProtection="1">
      <alignment vertical="center"/>
      <protection hidden="1"/>
    </xf>
    <xf numFmtId="1" fontId="26" fillId="2" borderId="1" xfId="2" applyNumberFormat="1" applyFont="1" applyFill="1" applyBorder="1" applyAlignment="1" applyProtection="1">
      <alignment horizontal="center" vertical="center" wrapText="1"/>
      <protection hidden="1"/>
    </xf>
    <xf numFmtId="166" fontId="26" fillId="0" borderId="1" xfId="2" applyFont="1" applyFill="1" applyBorder="1" applyAlignment="1" applyProtection="1">
      <alignment vertical="center"/>
      <protection hidden="1"/>
    </xf>
    <xf numFmtId="167" fontId="5" fillId="0" borderId="1" xfId="2" applyNumberFormat="1" applyFont="1" applyFill="1" applyBorder="1" applyAlignment="1" applyProtection="1">
      <alignment horizontal="right" vertical="center"/>
      <protection hidden="1"/>
    </xf>
    <xf numFmtId="10" fontId="5" fillId="0" borderId="1" xfId="3" applyNumberFormat="1" applyFont="1" applyFill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/>
      <protection hidden="1"/>
    </xf>
    <xf numFmtId="10" fontId="33" fillId="4" borderId="1" xfId="3" applyNumberFormat="1" applyFont="1" applyFill="1" applyBorder="1" applyAlignment="1" applyProtection="1">
      <alignment horizontal="center" vertical="center"/>
      <protection hidden="1"/>
    </xf>
    <xf numFmtId="9" fontId="33" fillId="0" borderId="0" xfId="3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10" fontId="33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23" fillId="5" borderId="1" xfId="0" applyFont="1" applyFill="1" applyBorder="1" applyAlignment="1" applyProtection="1">
      <alignment vertical="center" wrapText="1"/>
      <protection hidden="1"/>
    </xf>
    <xf numFmtId="0" fontId="23" fillId="5" borderId="0" xfId="0" applyFont="1" applyFill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vertical="center"/>
      <protection hidden="1"/>
    </xf>
    <xf numFmtId="0" fontId="8" fillId="7" borderId="1" xfId="0" applyFont="1" applyFill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justify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66" fontId="9" fillId="0" borderId="1" xfId="2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166" fontId="25" fillId="0" borderId="0" xfId="2" applyFont="1" applyFill="1" applyBorder="1" applyAlignment="1" applyProtection="1">
      <alignment vertical="center"/>
      <protection hidden="1"/>
    </xf>
    <xf numFmtId="166" fontId="25" fillId="0" borderId="1" xfId="2" applyFont="1" applyFill="1" applyBorder="1" applyAlignment="1" applyProtection="1">
      <alignment vertical="center"/>
      <protection hidden="1"/>
    </xf>
    <xf numFmtId="175" fontId="25" fillId="0" borderId="1" xfId="3" applyNumberFormat="1" applyFont="1" applyFill="1" applyBorder="1" applyAlignment="1" applyProtection="1">
      <alignment horizontal="center" vertical="center"/>
      <protection hidden="1"/>
    </xf>
    <xf numFmtId="168" fontId="25" fillId="0" borderId="1" xfId="2" applyNumberFormat="1" applyFont="1" applyFill="1" applyBorder="1" applyAlignment="1" applyProtection="1">
      <alignment vertical="center"/>
      <protection hidden="1"/>
    </xf>
    <xf numFmtId="1" fontId="25" fillId="0" borderId="1" xfId="4" applyNumberFormat="1" applyFont="1" applyFill="1" applyBorder="1" applyAlignment="1" applyProtection="1">
      <alignment horizontal="center" vertical="center"/>
      <protection hidden="1"/>
    </xf>
    <xf numFmtId="168" fontId="25" fillId="0" borderId="1" xfId="0" applyNumberFormat="1" applyFont="1" applyBorder="1" applyAlignment="1" applyProtection="1">
      <alignment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166" fontId="35" fillId="0" borderId="1" xfId="2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66" fontId="36" fillId="0" borderId="0" xfId="2" applyFont="1" applyAlignment="1">
      <alignment vertical="center"/>
    </xf>
    <xf numFmtId="0" fontId="28" fillId="0" borderId="1" xfId="0" applyFont="1" applyBorder="1" applyAlignment="1">
      <alignment horizontal="center" vertical="center"/>
    </xf>
    <xf numFmtId="166" fontId="28" fillId="9" borderId="1" xfId="2" applyFont="1" applyFill="1" applyBorder="1" applyAlignment="1">
      <alignment horizontal="center" vertical="center" wrapText="1"/>
    </xf>
    <xf numFmtId="166" fontId="28" fillId="11" borderId="1" xfId="2" applyFont="1" applyFill="1" applyBorder="1" applyAlignment="1">
      <alignment horizontal="center" vertical="center" wrapText="1"/>
    </xf>
    <xf numFmtId="166" fontId="28" fillId="0" borderId="1" xfId="2" applyFont="1" applyBorder="1" applyAlignment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166" fontId="36" fillId="10" borderId="1" xfId="2" applyFont="1" applyFill="1" applyBorder="1" applyAlignment="1">
      <alignment vertical="center"/>
    </xf>
    <xf numFmtId="166" fontId="36" fillId="11" borderId="1" xfId="2" applyFont="1" applyFill="1" applyBorder="1" applyAlignment="1">
      <alignment vertical="center"/>
    </xf>
    <xf numFmtId="4" fontId="36" fillId="0" borderId="1" xfId="1" applyNumberFormat="1" applyFont="1" applyBorder="1" applyAlignment="1">
      <alignment horizontal="center" vertical="center"/>
    </xf>
    <xf numFmtId="164" fontId="36" fillId="0" borderId="1" xfId="0" applyNumberFormat="1" applyFont="1" applyBorder="1" applyAlignment="1">
      <alignment vertical="center"/>
    </xf>
    <xf numFmtId="168" fontId="37" fillId="10" borderId="1" xfId="17" applyFont="1" applyFill="1" applyBorder="1" applyAlignment="1">
      <alignment vertical="center"/>
    </xf>
    <xf numFmtId="168" fontId="37" fillId="11" borderId="1" xfId="17" applyFont="1" applyFill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164" fontId="37" fillId="10" borderId="1" xfId="0" applyNumberFormat="1" applyFont="1" applyFill="1" applyBorder="1" applyAlignment="1">
      <alignment vertical="center"/>
    </xf>
    <xf numFmtId="164" fontId="37" fillId="11" borderId="1" xfId="0" applyNumberFormat="1" applyFont="1" applyFill="1" applyBorder="1" applyAlignment="1">
      <alignment vertical="center"/>
    </xf>
    <xf numFmtId="166" fontId="37" fillId="10" borderId="1" xfId="2" applyFont="1" applyFill="1" applyBorder="1" applyAlignment="1">
      <alignment vertical="center"/>
    </xf>
    <xf numFmtId="166" fontId="28" fillId="0" borderId="1" xfId="2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166" fontId="36" fillId="0" borderId="1" xfId="2" applyFont="1" applyFill="1" applyBorder="1" applyAlignment="1">
      <alignment vertical="center"/>
    </xf>
    <xf numFmtId="166" fontId="36" fillId="0" borderId="0" xfId="2" applyFont="1" applyFill="1" applyAlignment="1">
      <alignment vertical="center"/>
    </xf>
    <xf numFmtId="168" fontId="37" fillId="0" borderId="1" xfId="17" applyFont="1" applyFill="1" applyBorder="1" applyAlignment="1">
      <alignment vertical="center"/>
    </xf>
    <xf numFmtId="166" fontId="28" fillId="0" borderId="1" xfId="2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166" fontId="36" fillId="12" borderId="1" xfId="2" applyFont="1" applyFill="1" applyBorder="1" applyAlignment="1">
      <alignment vertical="center"/>
    </xf>
    <xf numFmtId="166" fontId="36" fillId="11" borderId="0" xfId="2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42" fontId="0" fillId="0" borderId="0" xfId="18" applyFont="1" applyFill="1" applyBorder="1"/>
    <xf numFmtId="0" fontId="28" fillId="0" borderId="0" xfId="0" applyFont="1" applyAlignment="1">
      <alignment horizontal="center" vertical="center"/>
    </xf>
    <xf numFmtId="168" fontId="37" fillId="0" borderId="0" xfId="17" applyFont="1" applyFill="1" applyBorder="1" applyAlignment="1">
      <alignment vertical="center"/>
    </xf>
    <xf numFmtId="4" fontId="36" fillId="0" borderId="0" xfId="1" applyNumberFormat="1" applyFont="1" applyFill="1" applyBorder="1" applyAlignment="1">
      <alignment horizontal="center" vertical="center"/>
    </xf>
    <xf numFmtId="164" fontId="36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166" fontId="37" fillId="0" borderId="0" xfId="2" applyFont="1" applyFill="1" applyBorder="1" applyAlignment="1">
      <alignment horizontal="center" vertical="center"/>
    </xf>
    <xf numFmtId="166" fontId="28" fillId="0" borderId="0" xfId="2" applyFont="1" applyFill="1" applyBorder="1" applyAlignment="1">
      <alignment horizontal="center" vertical="center"/>
    </xf>
    <xf numFmtId="166" fontId="28" fillId="0" borderId="1" xfId="2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166" fontId="36" fillId="0" borderId="0" xfId="2" applyFont="1" applyBorder="1" applyAlignment="1">
      <alignment vertical="center"/>
    </xf>
    <xf numFmtId="166" fontId="28" fillId="0" borderId="0" xfId="2" applyFont="1" applyBorder="1" applyAlignment="1">
      <alignment horizontal="center" vertical="center"/>
    </xf>
    <xf numFmtId="9" fontId="37" fillId="0" borderId="1" xfId="0" applyNumberFormat="1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12" borderId="1" xfId="0" applyFont="1" applyFill="1" applyBorder="1" applyAlignment="1">
      <alignment vertical="center"/>
    </xf>
    <xf numFmtId="166" fontId="28" fillId="12" borderId="1" xfId="2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0" fontId="28" fillId="12" borderId="1" xfId="0" applyFont="1" applyFill="1" applyBorder="1" applyAlignment="1">
      <alignment vertical="center" wrapText="1"/>
    </xf>
    <xf numFmtId="0" fontId="36" fillId="12" borderId="7" xfId="0" applyFont="1" applyFill="1" applyBorder="1" applyAlignment="1">
      <alignment vertical="center" wrapText="1"/>
    </xf>
    <xf numFmtId="10" fontId="28" fillId="12" borderId="1" xfId="0" applyNumberFormat="1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vertical="center" wrapText="1"/>
    </xf>
    <xf numFmtId="166" fontId="28" fillId="12" borderId="1" xfId="2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12" borderId="10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28" fillId="12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13" borderId="1" xfId="0" applyFont="1" applyFill="1" applyBorder="1" applyAlignment="1">
      <alignment horizontal="left" vertical="center" wrapText="1"/>
    </xf>
    <xf numFmtId="0" fontId="36" fillId="12" borderId="1" xfId="0" applyFont="1" applyFill="1" applyBorder="1" applyAlignment="1">
      <alignment horizontal="left" vertical="center"/>
    </xf>
    <xf numFmtId="0" fontId="36" fillId="12" borderId="7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4" fontId="36" fillId="0" borderId="1" xfId="1" applyNumberFormat="1" applyFont="1" applyFill="1" applyBorder="1" applyAlignment="1">
      <alignment horizontal="center" vertical="center"/>
    </xf>
    <xf numFmtId="164" fontId="37" fillId="0" borderId="1" xfId="0" applyNumberFormat="1" applyFont="1" applyBorder="1" applyAlignment="1">
      <alignment vertical="center"/>
    </xf>
    <xf numFmtId="9" fontId="37" fillId="0" borderId="1" xfId="3" applyFont="1" applyFill="1" applyBorder="1" applyAlignment="1" applyProtection="1">
      <alignment horizontal="center" vertical="center"/>
      <protection hidden="1"/>
    </xf>
    <xf numFmtId="44" fontId="36" fillId="0" borderId="0" xfId="0" applyNumberFormat="1" applyFont="1" applyAlignment="1">
      <alignment vertical="center"/>
    </xf>
    <xf numFmtId="166" fontId="28" fillId="0" borderId="1" xfId="2" applyFont="1" applyFill="1" applyBorder="1" applyAlignment="1">
      <alignment vertical="center"/>
    </xf>
    <xf numFmtId="175" fontId="36" fillId="0" borderId="0" xfId="0" applyNumberFormat="1" applyFont="1" applyAlignment="1">
      <alignment vertical="center"/>
    </xf>
    <xf numFmtId="0" fontId="28" fillId="5" borderId="0" xfId="0" applyFont="1" applyFill="1" applyAlignment="1">
      <alignment vertical="center"/>
    </xf>
    <xf numFmtId="3" fontId="36" fillId="0" borderId="0" xfId="0" applyNumberFormat="1" applyFont="1" applyAlignment="1">
      <alignment horizontal="center" vertical="center"/>
    </xf>
    <xf numFmtId="42" fontId="36" fillId="0" borderId="0" xfId="18" applyFont="1" applyAlignment="1">
      <alignment vertical="center"/>
    </xf>
    <xf numFmtId="42" fontId="36" fillId="0" borderId="0" xfId="18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166" fontId="36" fillId="5" borderId="1" xfId="2" applyFont="1" applyFill="1" applyBorder="1" applyAlignment="1">
      <alignment vertical="center"/>
    </xf>
    <xf numFmtId="168" fontId="37" fillId="5" borderId="1" xfId="17" applyFont="1" applyFill="1" applyBorder="1" applyAlignment="1">
      <alignment vertical="center"/>
    </xf>
    <xf numFmtId="168" fontId="37" fillId="5" borderId="0" xfId="17" applyFont="1" applyFill="1" applyBorder="1" applyAlignment="1">
      <alignment vertical="center"/>
    </xf>
    <xf numFmtId="166" fontId="36" fillId="5" borderId="0" xfId="2" applyFont="1" applyFill="1" applyAlignment="1">
      <alignment vertical="center"/>
    </xf>
    <xf numFmtId="0" fontId="28" fillId="5" borderId="1" xfId="0" applyFont="1" applyFill="1" applyBorder="1" applyAlignment="1">
      <alignment horizontal="center" vertical="center" wrapText="1"/>
    </xf>
    <xf numFmtId="164" fontId="37" fillId="5" borderId="1" xfId="0" applyNumberFormat="1" applyFont="1" applyFill="1" applyBorder="1" applyAlignment="1">
      <alignment vertical="center"/>
    </xf>
    <xf numFmtId="176" fontId="36" fillId="0" borderId="1" xfId="1" applyNumberFormat="1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vertical="center"/>
    </xf>
    <xf numFmtId="164" fontId="28" fillId="12" borderId="1" xfId="0" applyNumberFormat="1" applyFont="1" applyFill="1" applyBorder="1" applyAlignment="1">
      <alignment horizontal="center" vertical="center"/>
    </xf>
    <xf numFmtId="9" fontId="11" fillId="0" borderId="1" xfId="3" applyFont="1" applyFill="1" applyBorder="1" applyAlignment="1" applyProtection="1">
      <alignment horizontal="center" vertical="center"/>
      <protection hidden="1"/>
    </xf>
    <xf numFmtId="0" fontId="28" fillId="12" borderId="1" xfId="0" applyFont="1" applyFill="1" applyBorder="1" applyAlignment="1">
      <alignment horizontal="left" vertical="center" wrapText="1"/>
    </xf>
    <xf numFmtId="166" fontId="28" fillId="0" borderId="0" xfId="2" applyFont="1" applyFill="1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77" fontId="36" fillId="0" borderId="0" xfId="0" applyNumberFormat="1" applyFont="1" applyAlignment="1">
      <alignment vertical="center"/>
    </xf>
    <xf numFmtId="0" fontId="43" fillId="1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2" applyFont="1" applyAlignment="1">
      <alignment vertical="center"/>
    </xf>
    <xf numFmtId="0" fontId="45" fillId="0" borderId="1" xfId="0" applyFont="1" applyBorder="1" applyAlignment="1">
      <alignment horizontal="center" vertical="center"/>
    </xf>
    <xf numFmtId="166" fontId="45" fillId="10" borderId="1" xfId="2" applyFont="1" applyFill="1" applyBorder="1" applyAlignment="1">
      <alignment horizontal="center" vertical="center" wrapText="1"/>
    </xf>
    <xf numFmtId="166" fontId="45" fillId="0" borderId="1" xfId="2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7" fillId="0" borderId="1" xfId="0" applyFont="1" applyBorder="1" applyAlignment="1">
      <alignment horizontal="center" vertical="center"/>
    </xf>
    <xf numFmtId="166" fontId="0" fillId="10" borderId="1" xfId="2" applyFont="1" applyFill="1" applyBorder="1" applyAlignment="1">
      <alignment vertical="center"/>
    </xf>
    <xf numFmtId="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6" fontId="0" fillId="0" borderId="0" xfId="2" applyFont="1" applyFill="1" applyAlignment="1">
      <alignment vertical="center"/>
    </xf>
    <xf numFmtId="168" fontId="10" fillId="10" borderId="1" xfId="17" applyFont="1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164" fontId="49" fillId="10" borderId="1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10" fontId="36" fillId="0" borderId="0" xfId="3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166" fontId="27" fillId="0" borderId="0" xfId="2" applyFont="1" applyAlignment="1">
      <alignment vertical="center"/>
    </xf>
    <xf numFmtId="0" fontId="36" fillId="5" borderId="1" xfId="0" applyFont="1" applyFill="1" applyBorder="1" applyAlignment="1">
      <alignment horizontal="left" vertical="center"/>
    </xf>
    <xf numFmtId="0" fontId="37" fillId="5" borderId="1" xfId="0" applyFont="1" applyFill="1" applyBorder="1" applyAlignment="1">
      <alignment horizontal="center" vertical="center"/>
    </xf>
    <xf numFmtId="166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3" fontId="3" fillId="0" borderId="0" xfId="5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12" borderId="10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9" fontId="28" fillId="0" borderId="7" xfId="3" applyFont="1" applyFill="1" applyBorder="1" applyAlignment="1">
      <alignment horizontal="right" vertical="center"/>
    </xf>
    <xf numFmtId="9" fontId="28" fillId="0" borderId="9" xfId="3" applyFont="1" applyFill="1" applyBorder="1" applyAlignment="1">
      <alignment horizontal="right" vertical="center"/>
    </xf>
    <xf numFmtId="9" fontId="28" fillId="0" borderId="10" xfId="3" applyFont="1" applyFill="1" applyBorder="1" applyAlignment="1">
      <alignment horizontal="right" vertical="center"/>
    </xf>
    <xf numFmtId="0" fontId="28" fillId="1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9" fontId="39" fillId="0" borderId="1" xfId="14" applyFont="1" applyFill="1" applyBorder="1" applyAlignment="1" applyProtection="1">
      <alignment horizontal="center" vertical="center"/>
      <protection hidden="1"/>
    </xf>
    <xf numFmtId="0" fontId="4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0" fontId="9" fillId="0" borderId="7" xfId="14" applyNumberFormat="1" applyFont="1" applyFill="1" applyBorder="1" applyAlignment="1" applyProtection="1">
      <alignment horizontal="center" vertical="center" wrapText="1"/>
      <protection hidden="1"/>
    </xf>
    <xf numFmtId="10" fontId="9" fillId="0" borderId="9" xfId="14" applyNumberFormat="1" applyFont="1" applyFill="1" applyBorder="1" applyAlignment="1" applyProtection="1">
      <alignment horizontal="center" vertical="center" wrapText="1"/>
      <protection hidden="1"/>
    </xf>
    <xf numFmtId="10" fontId="9" fillId="0" borderId="10" xfId="14" applyNumberFormat="1" applyFont="1" applyFill="1" applyBorder="1" applyAlignment="1" applyProtection="1">
      <alignment horizontal="center" vertical="center" wrapText="1"/>
      <protection hidden="1"/>
    </xf>
    <xf numFmtId="10" fontId="43" fillId="0" borderId="7" xfId="0" applyNumberFormat="1" applyFont="1" applyBorder="1" applyAlignment="1">
      <alignment horizontal="center" vertical="center"/>
    </xf>
    <xf numFmtId="10" fontId="43" fillId="0" borderId="9" xfId="0" applyNumberFormat="1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3" fillId="0" borderId="0" xfId="0" applyFont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43" fillId="12" borderId="7" xfId="0" applyFont="1" applyFill="1" applyBorder="1" applyAlignment="1">
      <alignment horizontal="center" vertical="center"/>
    </xf>
    <xf numFmtId="0" fontId="43" fillId="12" borderId="9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left" vertical="center"/>
    </xf>
    <xf numFmtId="0" fontId="43" fillId="12" borderId="9" xfId="0" applyFont="1" applyFill="1" applyBorder="1" applyAlignment="1">
      <alignment horizontal="left" vertical="center"/>
    </xf>
    <xf numFmtId="166" fontId="28" fillId="0" borderId="7" xfId="0" applyNumberFormat="1" applyFont="1" applyBorder="1" applyAlignment="1">
      <alignment horizontal="center" vertical="center" wrapText="1"/>
    </xf>
    <xf numFmtId="44" fontId="28" fillId="12" borderId="1" xfId="0" applyNumberFormat="1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10" fontId="11" fillId="0" borderId="7" xfId="14" applyNumberFormat="1" applyFont="1" applyBorder="1" applyAlignment="1" applyProtection="1">
      <alignment horizontal="center" vertical="center" wrapText="1"/>
      <protection hidden="1"/>
    </xf>
    <xf numFmtId="10" fontId="11" fillId="0" borderId="9" xfId="14" applyNumberFormat="1" applyFont="1" applyBorder="1" applyAlignment="1" applyProtection="1">
      <alignment horizontal="center" vertical="center" wrapText="1"/>
      <protection hidden="1"/>
    </xf>
    <xf numFmtId="10" fontId="11" fillId="0" borderId="10" xfId="14" applyNumberFormat="1" applyFont="1" applyBorder="1" applyAlignment="1" applyProtection="1">
      <alignment horizontal="center" vertical="center" wrapText="1"/>
      <protection hidden="1"/>
    </xf>
    <xf numFmtId="10" fontId="28" fillId="0" borderId="7" xfId="0" applyNumberFormat="1" applyFont="1" applyBorder="1" applyAlignment="1">
      <alignment horizontal="center" vertical="center"/>
    </xf>
    <xf numFmtId="10" fontId="28" fillId="0" borderId="9" xfId="0" applyNumberFormat="1" applyFont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6" fontId="37" fillId="10" borderId="13" xfId="2" applyFont="1" applyFill="1" applyBorder="1" applyAlignment="1">
      <alignment horizontal="center" vertical="center"/>
    </xf>
    <xf numFmtId="166" fontId="37" fillId="10" borderId="15" xfId="2" applyFont="1" applyFill="1" applyBorder="1" applyAlignment="1">
      <alignment horizontal="center" vertical="center"/>
    </xf>
    <xf numFmtId="166" fontId="28" fillId="11" borderId="11" xfId="2" applyFont="1" applyFill="1" applyBorder="1" applyAlignment="1">
      <alignment horizontal="center" vertical="center"/>
    </xf>
    <xf numFmtId="166" fontId="28" fillId="11" borderId="6" xfId="2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3" fontId="12" fillId="3" borderId="1" xfId="5" applyNumberFormat="1" applyFont="1" applyFill="1" applyBorder="1" applyAlignment="1" applyProtection="1">
      <alignment horizontal="center" vertical="center" wrapText="1"/>
      <protection hidden="1"/>
    </xf>
    <xf numFmtId="3" fontId="14" fillId="3" borderId="1" xfId="5" applyNumberFormat="1" applyFont="1" applyFill="1" applyBorder="1" applyAlignment="1" applyProtection="1">
      <alignment horizontal="center" vertical="center" wrapText="1"/>
      <protection hidden="1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166" fontId="12" fillId="3" borderId="1" xfId="2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7" fillId="0" borderId="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left" vertical="center"/>
      <protection hidden="1"/>
    </xf>
    <xf numFmtId="0" fontId="5" fillId="4" borderId="7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10" xfId="0" applyFont="1" applyFill="1" applyBorder="1" applyAlignment="1" applyProtection="1">
      <alignment horizontal="left" vertical="center"/>
      <protection hidden="1"/>
    </xf>
    <xf numFmtId="164" fontId="27" fillId="0" borderId="8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</cellXfs>
  <cellStyles count="19">
    <cellStyle name="Millares" xfId="1" builtinId="3"/>
    <cellStyle name="Millares [0] 3" xfId="9" xr:uid="{00000000-0005-0000-0000-000001000000}"/>
    <cellStyle name="Millares 2" xfId="12" xr:uid="{00000000-0005-0000-0000-000002000000}"/>
    <cellStyle name="Millares 5" xfId="16" xr:uid="{00000000-0005-0000-0000-000003000000}"/>
    <cellStyle name="Millares_ANEXO No 9-ESTIMACION DE COSTOS" xfId="6" xr:uid="{00000000-0005-0000-0000-000004000000}"/>
    <cellStyle name="Millares_DISCRIMINACION DEL A.I.U. REFO 28 SEP" xfId="4" xr:uid="{00000000-0005-0000-0000-000005000000}"/>
    <cellStyle name="Moneda" xfId="2" builtinId="4"/>
    <cellStyle name="Moneda [0]" xfId="18" builtinId="7"/>
    <cellStyle name="Moneda 2" xfId="15" xr:uid="{00000000-0005-0000-0000-000008000000}"/>
    <cellStyle name="Moneda 4" xfId="10" xr:uid="{00000000-0005-0000-0000-000009000000}"/>
    <cellStyle name="Moneda 4 2" xfId="17" xr:uid="{00000000-0005-0000-0000-00000A000000}"/>
    <cellStyle name="Moneda_ANEXO No 9-ESTIMACION DE COSTOS" xfId="7" xr:uid="{00000000-0005-0000-0000-00000B000000}"/>
    <cellStyle name="Normal" xfId="0" builtinId="0"/>
    <cellStyle name="Normal 2" xfId="5" xr:uid="{00000000-0005-0000-0000-00000D000000}"/>
    <cellStyle name="Normal 2 2 2 2" xfId="13" xr:uid="{00000000-0005-0000-0000-00000E000000}"/>
    <cellStyle name="Normal 3" xfId="8" xr:uid="{00000000-0005-0000-0000-00000F000000}"/>
    <cellStyle name="Porcentaje" xfId="3" builtinId="5"/>
    <cellStyle name="Porcentaje 2" xfId="14" xr:uid="{00000000-0005-0000-0000-000011000000}"/>
    <cellStyle name="Porcentaje 3" xfId="11" xr:uid="{00000000-0005-0000-0000-000012000000}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2b0c58d5-fbeb-4d82-804b-88f805e73ac4@namprd16.prod.outlook.com" TargetMode="Externa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2b0c58d5-fbeb-4d82-804b-88f805e73ac4@namprd16.prod.outlook.com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104775</xdr:rowOff>
    </xdr:from>
    <xdr:to>
      <xdr:col>1</xdr:col>
      <xdr:colOff>1076326</xdr:colOff>
      <xdr:row>6</xdr:row>
      <xdr:rowOff>42124</xdr:rowOff>
    </xdr:to>
    <xdr:pic>
      <xdr:nvPicPr>
        <xdr:cNvPr id="2" name="Picture 11" descr="S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57200"/>
          <a:ext cx="1038226" cy="97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96051</xdr:colOff>
      <xdr:row>43</xdr:row>
      <xdr:rowOff>60032</xdr:rowOff>
    </xdr:from>
    <xdr:to>
      <xdr:col>3</xdr:col>
      <xdr:colOff>4062932</xdr:colOff>
      <xdr:row>55</xdr:row>
      <xdr:rowOff>90933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461D87-FD19-4565-9869-B525FA6F90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1" t="4171" r="726"/>
        <a:stretch/>
      </xdr:blipFill>
      <xdr:spPr>
        <a:xfrm>
          <a:off x="362751" y="14480882"/>
          <a:ext cx="10691531" cy="23169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53190</xdr:colOff>
      <xdr:row>55</xdr:row>
      <xdr:rowOff>486145</xdr:rowOff>
    </xdr:from>
    <xdr:to>
      <xdr:col>5</xdr:col>
      <xdr:colOff>962861</xdr:colOff>
      <xdr:row>68</xdr:row>
      <xdr:rowOff>155862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3CC4AB-E3D7-4C14-8297-6CD392F1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890" y="14811745"/>
          <a:ext cx="11958671" cy="2508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53190</xdr:colOff>
      <xdr:row>55</xdr:row>
      <xdr:rowOff>486145</xdr:rowOff>
    </xdr:from>
    <xdr:to>
      <xdr:col>4</xdr:col>
      <xdr:colOff>962861</xdr:colOff>
      <xdr:row>68</xdr:row>
      <xdr:rowOff>155862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F465FB-5D5F-4F4D-B423-E99173EC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3" y="10669236"/>
          <a:ext cx="11958671" cy="250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264319</xdr:colOff>
      <xdr:row>1</xdr:row>
      <xdr:rowOff>52390</xdr:rowOff>
    </xdr:from>
    <xdr:to>
      <xdr:col>1</xdr:col>
      <xdr:colOff>904874</xdr:colOff>
      <xdr:row>1</xdr:row>
      <xdr:rowOff>791587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835819" y="233365"/>
          <a:ext cx="640555" cy="739197"/>
          <a:chOff x="788" y="19"/>
          <a:chExt cx="66" cy="105"/>
        </a:xfrm>
      </xdr:grpSpPr>
      <xdr:sp macro="" textlink="">
        <xdr:nvSpPr>
          <xdr:cNvPr id="3" name="Rectangle 18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788" y="75"/>
            <a:ext cx="66" cy="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ALCALDIA MAYOR</a:t>
            </a: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BOGOTÁ D.C.</a:t>
            </a:r>
          </a:p>
          <a:p>
            <a:pPr algn="ctr" rtl="0">
              <a:defRPr sz="1000"/>
            </a:pPr>
            <a:r>
              <a:rPr lang="es-ES" sz="500" b="0" i="0" strike="noStrike">
                <a:solidFill>
                  <a:srgbClr val="000000"/>
                </a:solidFill>
                <a:latin typeface="Tahoma"/>
                <a:cs typeface="Tahoma"/>
              </a:rPr>
              <a:t>SECRETARÍA</a:t>
            </a:r>
            <a:endParaRPr lang="es-ES" sz="4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DE EDUCACIÓN</a:t>
            </a:r>
            <a:endParaRPr lang="es-ES" sz="6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19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" y="19"/>
            <a:ext cx="40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264319</xdr:colOff>
      <xdr:row>1</xdr:row>
      <xdr:rowOff>52390</xdr:rowOff>
    </xdr:from>
    <xdr:to>
      <xdr:col>1</xdr:col>
      <xdr:colOff>904874</xdr:colOff>
      <xdr:row>1</xdr:row>
      <xdr:rowOff>791587</xdr:rowOff>
    </xdr:to>
    <xdr:grpSp>
      <xdr:nvGrpSpPr>
        <xdr:cNvPr id="2" name="Group 1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35819" y="233365"/>
          <a:ext cx="640555" cy="739197"/>
          <a:chOff x="788" y="19"/>
          <a:chExt cx="66" cy="105"/>
        </a:xfrm>
      </xdr:grpSpPr>
      <xdr:sp macro="" textlink="">
        <xdr:nvSpPr>
          <xdr:cNvPr id="3" name="Rectangle 18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788" y="75"/>
            <a:ext cx="66" cy="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ALCALDIA MAYOR</a:t>
            </a: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BOGOTÁ D.C.</a:t>
            </a:r>
          </a:p>
          <a:p>
            <a:pPr algn="ctr" rtl="0">
              <a:defRPr sz="1000"/>
            </a:pPr>
            <a:r>
              <a:rPr lang="es-ES" sz="500" b="0" i="0" strike="noStrike">
                <a:solidFill>
                  <a:srgbClr val="000000"/>
                </a:solidFill>
                <a:latin typeface="Tahoma"/>
                <a:cs typeface="Tahoma"/>
              </a:rPr>
              <a:t>SECRETARÍA</a:t>
            </a:r>
            <a:endParaRPr lang="es-ES" sz="4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r>
              <a:rPr lang="es-ES" sz="400" b="0" i="0" strike="noStrike">
                <a:solidFill>
                  <a:srgbClr val="000000"/>
                </a:solidFill>
                <a:latin typeface="Tahoma"/>
                <a:cs typeface="Tahoma"/>
              </a:rPr>
              <a:t>DE EDUCACIÓN</a:t>
            </a:r>
            <a:endParaRPr lang="es-ES" sz="600" b="0" i="0" strike="noStrike">
              <a:solidFill>
                <a:srgbClr val="000000"/>
              </a:solidFill>
              <a:latin typeface="Tahoma"/>
              <a:cs typeface="Tahoma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19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" y="19"/>
            <a:ext cx="40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0%20-%20PROCESOS%202016\01%20-%20EN%20ESTUDIOS%20PREVIOS\14-%20OBRAS%20REDES%20HIDR&#193;ULICAS\CALCULO%20DEL%20AI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4300d178\COMPARTIDA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4300d178\COMPARTIDA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CALCULO TARIFAS"/>
      <sheetName val="TARIFAS"/>
      <sheetName val="INFORMACION DEL FP"/>
      <sheetName val="PERSONAL Y OTROS"/>
      <sheetName val="Hoja2"/>
      <sheetName val="IMPUESTOS Y VR TOTAL"/>
      <sheetName val="FM"/>
      <sheetName val="COSTEO"/>
      <sheetName val="COSTEO TOTAL OBRA"/>
      <sheetName val="AIU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>
        <row r="8">
          <cell r="G8">
            <v>1</v>
          </cell>
          <cell r="H8">
            <v>6.0899999999999999E-3</v>
          </cell>
          <cell r="I8">
            <v>5.2199999999999998E-3</v>
          </cell>
          <cell r="J8">
            <v>6.96E-3</v>
          </cell>
          <cell r="L8">
            <v>1</v>
          </cell>
          <cell r="M8">
            <v>5</v>
          </cell>
        </row>
        <row r="9">
          <cell r="G9">
            <v>2</v>
          </cell>
          <cell r="H9">
            <v>1.3485E-2</v>
          </cell>
          <cell r="I9">
            <v>1.044E-2</v>
          </cell>
          <cell r="J9">
            <v>1.653E-2</v>
          </cell>
          <cell r="L9">
            <v>2</v>
          </cell>
          <cell r="M9">
            <v>5</v>
          </cell>
        </row>
        <row r="10">
          <cell r="G10">
            <v>3</v>
          </cell>
          <cell r="H10">
            <v>3.2625000000000001E-2</v>
          </cell>
          <cell r="I10">
            <v>2.436E-2</v>
          </cell>
          <cell r="J10">
            <v>4.0890000000000003E-2</v>
          </cell>
          <cell r="L10">
            <v>3</v>
          </cell>
          <cell r="M10">
            <v>1</v>
          </cell>
        </row>
        <row r="11">
          <cell r="G11">
            <v>4</v>
          </cell>
          <cell r="H11">
            <v>5.2049999999999999E-2</v>
          </cell>
          <cell r="I11">
            <v>4.3499999999999997E-2</v>
          </cell>
          <cell r="J11">
            <v>6.0600000000000001E-2</v>
          </cell>
          <cell r="L11">
            <v>4</v>
          </cell>
          <cell r="M11">
            <v>2</v>
          </cell>
        </row>
        <row r="12">
          <cell r="G12">
            <v>5</v>
          </cell>
          <cell r="H12">
            <v>7.8299999999999995E-2</v>
          </cell>
          <cell r="I12">
            <v>6.9599999999999995E-2</v>
          </cell>
          <cell r="J12">
            <v>8.6999999999999994E-2</v>
          </cell>
          <cell r="L12">
            <v>5</v>
          </cell>
          <cell r="M12">
            <v>1</v>
          </cell>
        </row>
        <row r="25">
          <cell r="D25">
            <v>0</v>
          </cell>
        </row>
        <row r="27">
          <cell r="D27">
            <v>0</v>
          </cell>
        </row>
      </sheetData>
      <sheetData sheetId="4" refreshError="1">
        <row r="8">
          <cell r="D8">
            <v>1</v>
          </cell>
        </row>
        <row r="9">
          <cell r="O9">
            <v>990490000</v>
          </cell>
        </row>
        <row r="10">
          <cell r="B10">
            <v>34.4</v>
          </cell>
          <cell r="D10">
            <v>8</v>
          </cell>
          <cell r="O10">
            <v>96632499.237599969</v>
          </cell>
        </row>
        <row r="12">
          <cell r="P12">
            <v>64246204.895199977</v>
          </cell>
        </row>
        <row r="13">
          <cell r="C13" t="str">
            <v>EXPERIENCIA</v>
          </cell>
        </row>
        <row r="14">
          <cell r="O14">
            <v>16533556.357919998</v>
          </cell>
        </row>
        <row r="15">
          <cell r="O15">
            <v>25683194.342399996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2225876.8430079995</v>
          </cell>
        </row>
        <row r="20">
          <cell r="O20">
            <v>2225876.8430079995</v>
          </cell>
        </row>
        <row r="21">
          <cell r="O21">
            <v>2225876.8430079995</v>
          </cell>
        </row>
        <row r="22">
          <cell r="O22">
            <v>0</v>
          </cell>
        </row>
        <row r="23">
          <cell r="O23">
            <v>3424425.9123199997</v>
          </cell>
        </row>
        <row r="24">
          <cell r="O24">
            <v>1712212.9561599998</v>
          </cell>
        </row>
        <row r="25">
          <cell r="O25">
            <v>5136638.8684799988</v>
          </cell>
        </row>
        <row r="26">
          <cell r="O26">
            <v>2539272.9644479998</v>
          </cell>
        </row>
        <row r="27">
          <cell r="O27">
            <v>2539272.9644479998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I33">
            <v>5043000</v>
          </cell>
        </row>
        <row r="34">
          <cell r="C34" t="str">
            <v>CODIGO</v>
          </cell>
          <cell r="P34">
            <v>25683194.342399996</v>
          </cell>
        </row>
        <row r="35">
          <cell r="O35">
            <v>25683194.342399996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2016000</v>
          </cell>
        </row>
        <row r="46">
          <cell r="C46">
            <v>0</v>
          </cell>
          <cell r="P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5581600</v>
          </cell>
        </row>
        <row r="65">
          <cell r="O65">
            <v>609600</v>
          </cell>
        </row>
        <row r="66">
          <cell r="O66">
            <v>0</v>
          </cell>
        </row>
        <row r="67">
          <cell r="O67">
            <v>1000000</v>
          </cell>
        </row>
        <row r="68">
          <cell r="O68">
            <v>28800.000000000004</v>
          </cell>
        </row>
        <row r="69">
          <cell r="O69">
            <v>878400</v>
          </cell>
        </row>
        <row r="70">
          <cell r="O70">
            <v>60000</v>
          </cell>
        </row>
        <row r="71">
          <cell r="O71">
            <v>2476800</v>
          </cell>
        </row>
        <row r="72">
          <cell r="O72">
            <v>528000</v>
          </cell>
        </row>
        <row r="74">
          <cell r="P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3">
          <cell r="P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8">
          <cell r="P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5">
          <cell r="P95">
            <v>1121500</v>
          </cell>
        </row>
        <row r="96">
          <cell r="O96">
            <v>1121500</v>
          </cell>
        </row>
        <row r="97">
          <cell r="O97">
            <v>0</v>
          </cell>
        </row>
        <row r="98">
          <cell r="O98">
            <v>0</v>
          </cell>
        </row>
        <row r="100">
          <cell r="P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26">
          <cell r="A126" t="str">
            <v>Aparatos Sanit, (sum. e instal)/Gl/Unidad</v>
          </cell>
        </row>
        <row r="127">
          <cell r="A127" t="str">
            <v>Aseo/m2</v>
          </cell>
        </row>
        <row r="128">
          <cell r="A128" t="str">
            <v>Campamento Obra/m2</v>
          </cell>
        </row>
        <row r="129">
          <cell r="A129" t="str">
            <v>Derechos Agua/Gl</v>
          </cell>
        </row>
        <row r="130">
          <cell r="A130" t="str">
            <v>Derechos Energía/Gl</v>
          </cell>
        </row>
        <row r="131">
          <cell r="A131" t="str">
            <v>Derechos Gas/Gl</v>
          </cell>
        </row>
        <row r="132">
          <cell r="A132" t="str">
            <v>Prov. Agua/ml</v>
          </cell>
        </row>
        <row r="133">
          <cell r="A133" t="str">
            <v>Prov. Energía/ml</v>
          </cell>
        </row>
        <row r="134">
          <cell r="A134" t="str">
            <v>Prov. Teléfono/ml</v>
          </cell>
        </row>
        <row r="135">
          <cell r="A135" t="str">
            <v>Servicios Públiicos/mes</v>
          </cell>
        </row>
        <row r="136">
          <cell r="A136" t="str">
            <v>Señalización/ml</v>
          </cell>
        </row>
        <row r="137">
          <cell r="A137" t="str">
            <v>Señalización/m2</v>
          </cell>
        </row>
        <row r="138">
          <cell r="A138" t="str">
            <v>Cerramiento/m2</v>
          </cell>
        </row>
        <row r="139">
          <cell r="A139" t="str">
            <v>Vallas/und</v>
          </cell>
        </row>
      </sheetData>
      <sheetData sheetId="5" refreshError="1"/>
      <sheetData sheetId="6" refreshError="1">
        <row r="7">
          <cell r="F7">
            <v>49524500</v>
          </cell>
        </row>
        <row r="10">
          <cell r="D10">
            <v>1300033772</v>
          </cell>
          <cell r="F10">
            <v>133672072.504584</v>
          </cell>
        </row>
        <row r="11">
          <cell r="E11">
            <v>5200135.0880000005</v>
          </cell>
        </row>
        <row r="12">
          <cell r="E12">
            <v>8970233.0267999992</v>
          </cell>
        </row>
        <row r="13">
          <cell r="E13">
            <v>65001688.600000001</v>
          </cell>
        </row>
        <row r="14">
          <cell r="E14">
            <v>0</v>
          </cell>
        </row>
        <row r="15">
          <cell r="E15">
            <v>26000675.440000001</v>
          </cell>
        </row>
        <row r="16">
          <cell r="E16">
            <v>12740330.965599999</v>
          </cell>
        </row>
        <row r="17">
          <cell r="E17">
            <v>0</v>
          </cell>
        </row>
        <row r="19">
          <cell r="E19">
            <v>150803.917552</v>
          </cell>
        </row>
        <row r="20">
          <cell r="E20">
            <v>1055627.4228640001</v>
          </cell>
        </row>
        <row r="21">
          <cell r="E21">
            <v>1055627.4228640001</v>
          </cell>
        </row>
        <row r="22">
          <cell r="E22">
            <v>377009.79388000001</v>
          </cell>
        </row>
        <row r="23">
          <cell r="E23">
            <v>11310293.816399999</v>
          </cell>
        </row>
        <row r="24">
          <cell r="E24">
            <v>1809647.0106239996</v>
          </cell>
        </row>
        <row r="27">
          <cell r="F27">
            <v>1300033772</v>
          </cell>
        </row>
        <row r="39">
          <cell r="E39">
            <v>146718556.96000001</v>
          </cell>
        </row>
        <row r="40">
          <cell r="E40">
            <v>218180612.72068965</v>
          </cell>
        </row>
        <row r="41">
          <cell r="E41">
            <v>5059260584.8275871</v>
          </cell>
        </row>
        <row r="42">
          <cell r="E42">
            <v>632407573.10344827</v>
          </cell>
        </row>
        <row r="43">
          <cell r="E43">
            <v>0</v>
          </cell>
        </row>
        <row r="44">
          <cell r="E44">
            <v>4254838.1518399995</v>
          </cell>
        </row>
        <row r="45">
          <cell r="E45">
            <v>0</v>
          </cell>
        </row>
        <row r="46">
          <cell r="E46">
            <v>29783867.062879998</v>
          </cell>
        </row>
        <row r="47">
          <cell r="E47">
            <v>10637095.379599998</v>
          </cell>
        </row>
        <row r="48">
          <cell r="E48">
            <v>110625791.94783999</v>
          </cell>
        </row>
        <row r="51">
          <cell r="F51" t="str">
            <v>COSTEO DE OBRA</v>
          </cell>
        </row>
        <row r="52">
          <cell r="F52">
            <v>36679639240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Impuestos locales</v>
          </cell>
          <cell r="C67">
            <v>0.02</v>
          </cell>
          <cell r="D67">
            <v>1</v>
          </cell>
        </row>
        <row r="68">
          <cell r="B68" t="str">
            <v>Renta/Utilidad</v>
          </cell>
          <cell r="C68">
            <v>0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0</v>
          </cell>
          <cell r="D76">
            <v>0</v>
          </cell>
        </row>
        <row r="77">
          <cell r="B77" t="str">
            <v>Estabilidad de la Obra</v>
          </cell>
          <cell r="C77">
            <v>3.0000000000000001E-3</v>
          </cell>
          <cell r="D77">
            <v>0.5</v>
          </cell>
          <cell r="E77">
            <v>52</v>
          </cell>
        </row>
        <row r="78">
          <cell r="B78" t="str">
            <v>Salarios, Prestaciones</v>
          </cell>
          <cell r="C78">
            <v>5.0000000000000001E-3</v>
          </cell>
          <cell r="D78">
            <v>0.05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0.2</v>
          </cell>
          <cell r="E79">
            <v>6</v>
          </cell>
        </row>
        <row r="80">
          <cell r="B80" t="str">
            <v>Cumplimiento</v>
          </cell>
          <cell r="C80">
            <v>3.0000000000000001E-3</v>
          </cell>
          <cell r="D80">
            <v>0.2</v>
          </cell>
          <cell r="E80">
            <v>6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0.2</v>
          </cell>
          <cell r="E81">
            <v>44</v>
          </cell>
        </row>
        <row r="82">
          <cell r="B82" t="str">
            <v>Responsabilidad Civil</v>
          </cell>
          <cell r="C82">
            <v>3.0000000000000001E-3</v>
          </cell>
          <cell r="D82">
            <v>0.3</v>
          </cell>
          <cell r="E82">
            <v>8</v>
          </cell>
        </row>
        <row r="83">
          <cell r="B83" t="str">
            <v>Garantía de Seriedad</v>
          </cell>
          <cell r="C83">
            <v>1E-3</v>
          </cell>
          <cell r="D83">
            <v>0.1</v>
          </cell>
          <cell r="E83">
            <v>3</v>
          </cell>
        </row>
      </sheetData>
      <sheetData sheetId="7" refreshError="1">
        <row r="8">
          <cell r="E8" t="e">
            <v>#VALUE!</v>
          </cell>
        </row>
        <row r="10">
          <cell r="E10" t="e">
            <v>#VALUE!</v>
          </cell>
        </row>
        <row r="11">
          <cell r="E11" t="e">
            <v>#VALUE!</v>
          </cell>
        </row>
        <row r="12">
          <cell r="E12" t="e">
            <v>#VALUE!</v>
          </cell>
        </row>
        <row r="13">
          <cell r="E13" t="e">
            <v>#VALUE!</v>
          </cell>
        </row>
        <row r="15">
          <cell r="E15" t="e">
            <v>#VALUE!</v>
          </cell>
        </row>
        <row r="16">
          <cell r="E16" t="e">
            <v>#VALUE!</v>
          </cell>
        </row>
        <row r="17">
          <cell r="E17" t="e">
            <v>#VALUE!</v>
          </cell>
        </row>
        <row r="18">
          <cell r="E18" t="e">
            <v>#VALUE!</v>
          </cell>
        </row>
        <row r="19">
          <cell r="E19" t="e">
            <v>#VALUE!</v>
          </cell>
        </row>
        <row r="21">
          <cell r="E21" t="e">
            <v>#VALUE!</v>
          </cell>
        </row>
        <row r="22">
          <cell r="E22" t="e">
            <v>#VALUE!</v>
          </cell>
        </row>
        <row r="45">
          <cell r="D45" t="e">
            <v>#VALUE!</v>
          </cell>
        </row>
        <row r="57">
          <cell r="E57">
            <v>1.8804596004207677</v>
          </cell>
        </row>
        <row r="62">
          <cell r="E62" t="e">
            <v>#VALUE!</v>
          </cell>
        </row>
      </sheetData>
      <sheetData sheetId="8" refreshError="1"/>
      <sheetData sheetId="9" refreshError="1">
        <row r="7">
          <cell r="D7">
            <v>990490000</v>
          </cell>
        </row>
        <row r="29">
          <cell r="B29">
            <v>0.05</v>
          </cell>
        </row>
        <row r="33">
          <cell r="D33">
            <v>1300033772</v>
          </cell>
        </row>
        <row r="35">
          <cell r="D35">
            <v>1300033772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C25"/>
  <sheetViews>
    <sheetView workbookViewId="0"/>
  </sheetViews>
  <sheetFormatPr baseColWidth="10" defaultRowHeight="24.95" customHeight="1" x14ac:dyDescent="0.25"/>
  <cols>
    <col min="1" max="1" width="3" style="3" customWidth="1"/>
    <col min="2" max="2" width="69.5703125" style="3" customWidth="1"/>
    <col min="3" max="3" width="23.42578125" style="10" customWidth="1"/>
    <col min="4" max="256" width="11.42578125" style="3"/>
    <col min="257" max="257" width="3" style="3" customWidth="1"/>
    <col min="258" max="258" width="69.5703125" style="3" customWidth="1"/>
    <col min="259" max="259" width="23.42578125" style="3" customWidth="1"/>
    <col min="260" max="512" width="11.42578125" style="3"/>
    <col min="513" max="513" width="3" style="3" customWidth="1"/>
    <col min="514" max="514" width="69.5703125" style="3" customWidth="1"/>
    <col min="515" max="515" width="23.42578125" style="3" customWidth="1"/>
    <col min="516" max="768" width="11.42578125" style="3"/>
    <col min="769" max="769" width="3" style="3" customWidth="1"/>
    <col min="770" max="770" width="69.5703125" style="3" customWidth="1"/>
    <col min="771" max="771" width="23.42578125" style="3" customWidth="1"/>
    <col min="772" max="1024" width="11.42578125" style="3"/>
    <col min="1025" max="1025" width="3" style="3" customWidth="1"/>
    <col min="1026" max="1026" width="69.5703125" style="3" customWidth="1"/>
    <col min="1027" max="1027" width="23.42578125" style="3" customWidth="1"/>
    <col min="1028" max="1280" width="11.42578125" style="3"/>
    <col min="1281" max="1281" width="3" style="3" customWidth="1"/>
    <col min="1282" max="1282" width="69.5703125" style="3" customWidth="1"/>
    <col min="1283" max="1283" width="23.42578125" style="3" customWidth="1"/>
    <col min="1284" max="1536" width="11.42578125" style="3"/>
    <col min="1537" max="1537" width="3" style="3" customWidth="1"/>
    <col min="1538" max="1538" width="69.5703125" style="3" customWidth="1"/>
    <col min="1539" max="1539" width="23.42578125" style="3" customWidth="1"/>
    <col min="1540" max="1792" width="11.42578125" style="3"/>
    <col min="1793" max="1793" width="3" style="3" customWidth="1"/>
    <col min="1794" max="1794" width="69.5703125" style="3" customWidth="1"/>
    <col min="1795" max="1795" width="23.42578125" style="3" customWidth="1"/>
    <col min="1796" max="2048" width="11.42578125" style="3"/>
    <col min="2049" max="2049" width="3" style="3" customWidth="1"/>
    <col min="2050" max="2050" width="69.5703125" style="3" customWidth="1"/>
    <col min="2051" max="2051" width="23.42578125" style="3" customWidth="1"/>
    <col min="2052" max="2304" width="11.42578125" style="3"/>
    <col min="2305" max="2305" width="3" style="3" customWidth="1"/>
    <col min="2306" max="2306" width="69.5703125" style="3" customWidth="1"/>
    <col min="2307" max="2307" width="23.42578125" style="3" customWidth="1"/>
    <col min="2308" max="2560" width="11.42578125" style="3"/>
    <col min="2561" max="2561" width="3" style="3" customWidth="1"/>
    <col min="2562" max="2562" width="69.5703125" style="3" customWidth="1"/>
    <col min="2563" max="2563" width="23.42578125" style="3" customWidth="1"/>
    <col min="2564" max="2816" width="11.42578125" style="3"/>
    <col min="2817" max="2817" width="3" style="3" customWidth="1"/>
    <col min="2818" max="2818" width="69.5703125" style="3" customWidth="1"/>
    <col min="2819" max="2819" width="23.42578125" style="3" customWidth="1"/>
    <col min="2820" max="3072" width="11.42578125" style="3"/>
    <col min="3073" max="3073" width="3" style="3" customWidth="1"/>
    <col min="3074" max="3074" width="69.5703125" style="3" customWidth="1"/>
    <col min="3075" max="3075" width="23.42578125" style="3" customWidth="1"/>
    <col min="3076" max="3328" width="11.42578125" style="3"/>
    <col min="3329" max="3329" width="3" style="3" customWidth="1"/>
    <col min="3330" max="3330" width="69.5703125" style="3" customWidth="1"/>
    <col min="3331" max="3331" width="23.42578125" style="3" customWidth="1"/>
    <col min="3332" max="3584" width="11.42578125" style="3"/>
    <col min="3585" max="3585" width="3" style="3" customWidth="1"/>
    <col min="3586" max="3586" width="69.5703125" style="3" customWidth="1"/>
    <col min="3587" max="3587" width="23.42578125" style="3" customWidth="1"/>
    <col min="3588" max="3840" width="11.42578125" style="3"/>
    <col min="3841" max="3841" width="3" style="3" customWidth="1"/>
    <col min="3842" max="3842" width="69.5703125" style="3" customWidth="1"/>
    <col min="3843" max="3843" width="23.42578125" style="3" customWidth="1"/>
    <col min="3844" max="4096" width="11.42578125" style="3"/>
    <col min="4097" max="4097" width="3" style="3" customWidth="1"/>
    <col min="4098" max="4098" width="69.5703125" style="3" customWidth="1"/>
    <col min="4099" max="4099" width="23.42578125" style="3" customWidth="1"/>
    <col min="4100" max="4352" width="11.42578125" style="3"/>
    <col min="4353" max="4353" width="3" style="3" customWidth="1"/>
    <col min="4354" max="4354" width="69.5703125" style="3" customWidth="1"/>
    <col min="4355" max="4355" width="23.42578125" style="3" customWidth="1"/>
    <col min="4356" max="4608" width="11.42578125" style="3"/>
    <col min="4609" max="4609" width="3" style="3" customWidth="1"/>
    <col min="4610" max="4610" width="69.5703125" style="3" customWidth="1"/>
    <col min="4611" max="4611" width="23.42578125" style="3" customWidth="1"/>
    <col min="4612" max="4864" width="11.42578125" style="3"/>
    <col min="4865" max="4865" width="3" style="3" customWidth="1"/>
    <col min="4866" max="4866" width="69.5703125" style="3" customWidth="1"/>
    <col min="4867" max="4867" width="23.42578125" style="3" customWidth="1"/>
    <col min="4868" max="5120" width="11.42578125" style="3"/>
    <col min="5121" max="5121" width="3" style="3" customWidth="1"/>
    <col min="5122" max="5122" width="69.5703125" style="3" customWidth="1"/>
    <col min="5123" max="5123" width="23.42578125" style="3" customWidth="1"/>
    <col min="5124" max="5376" width="11.42578125" style="3"/>
    <col min="5377" max="5377" width="3" style="3" customWidth="1"/>
    <col min="5378" max="5378" width="69.5703125" style="3" customWidth="1"/>
    <col min="5379" max="5379" width="23.42578125" style="3" customWidth="1"/>
    <col min="5380" max="5632" width="11.42578125" style="3"/>
    <col min="5633" max="5633" width="3" style="3" customWidth="1"/>
    <col min="5634" max="5634" width="69.5703125" style="3" customWidth="1"/>
    <col min="5635" max="5635" width="23.42578125" style="3" customWidth="1"/>
    <col min="5636" max="5888" width="11.42578125" style="3"/>
    <col min="5889" max="5889" width="3" style="3" customWidth="1"/>
    <col min="5890" max="5890" width="69.5703125" style="3" customWidth="1"/>
    <col min="5891" max="5891" width="23.42578125" style="3" customWidth="1"/>
    <col min="5892" max="6144" width="11.42578125" style="3"/>
    <col min="6145" max="6145" width="3" style="3" customWidth="1"/>
    <col min="6146" max="6146" width="69.5703125" style="3" customWidth="1"/>
    <col min="6147" max="6147" width="23.42578125" style="3" customWidth="1"/>
    <col min="6148" max="6400" width="11.42578125" style="3"/>
    <col min="6401" max="6401" width="3" style="3" customWidth="1"/>
    <col min="6402" max="6402" width="69.5703125" style="3" customWidth="1"/>
    <col min="6403" max="6403" width="23.42578125" style="3" customWidth="1"/>
    <col min="6404" max="6656" width="11.42578125" style="3"/>
    <col min="6657" max="6657" width="3" style="3" customWidth="1"/>
    <col min="6658" max="6658" width="69.5703125" style="3" customWidth="1"/>
    <col min="6659" max="6659" width="23.42578125" style="3" customWidth="1"/>
    <col min="6660" max="6912" width="11.42578125" style="3"/>
    <col min="6913" max="6913" width="3" style="3" customWidth="1"/>
    <col min="6914" max="6914" width="69.5703125" style="3" customWidth="1"/>
    <col min="6915" max="6915" width="23.42578125" style="3" customWidth="1"/>
    <col min="6916" max="7168" width="11.42578125" style="3"/>
    <col min="7169" max="7169" width="3" style="3" customWidth="1"/>
    <col min="7170" max="7170" width="69.5703125" style="3" customWidth="1"/>
    <col min="7171" max="7171" width="23.42578125" style="3" customWidth="1"/>
    <col min="7172" max="7424" width="11.42578125" style="3"/>
    <col min="7425" max="7425" width="3" style="3" customWidth="1"/>
    <col min="7426" max="7426" width="69.5703125" style="3" customWidth="1"/>
    <col min="7427" max="7427" width="23.42578125" style="3" customWidth="1"/>
    <col min="7428" max="7680" width="11.42578125" style="3"/>
    <col min="7681" max="7681" width="3" style="3" customWidth="1"/>
    <col min="7682" max="7682" width="69.5703125" style="3" customWidth="1"/>
    <col min="7683" max="7683" width="23.42578125" style="3" customWidth="1"/>
    <col min="7684" max="7936" width="11.42578125" style="3"/>
    <col min="7937" max="7937" width="3" style="3" customWidth="1"/>
    <col min="7938" max="7938" width="69.5703125" style="3" customWidth="1"/>
    <col min="7939" max="7939" width="23.42578125" style="3" customWidth="1"/>
    <col min="7940" max="8192" width="11.42578125" style="3"/>
    <col min="8193" max="8193" width="3" style="3" customWidth="1"/>
    <col min="8194" max="8194" width="69.5703125" style="3" customWidth="1"/>
    <col min="8195" max="8195" width="23.42578125" style="3" customWidth="1"/>
    <col min="8196" max="8448" width="11.42578125" style="3"/>
    <col min="8449" max="8449" width="3" style="3" customWidth="1"/>
    <col min="8450" max="8450" width="69.5703125" style="3" customWidth="1"/>
    <col min="8451" max="8451" width="23.42578125" style="3" customWidth="1"/>
    <col min="8452" max="8704" width="11.42578125" style="3"/>
    <col min="8705" max="8705" width="3" style="3" customWidth="1"/>
    <col min="8706" max="8706" width="69.5703125" style="3" customWidth="1"/>
    <col min="8707" max="8707" width="23.42578125" style="3" customWidth="1"/>
    <col min="8708" max="8960" width="11.42578125" style="3"/>
    <col min="8961" max="8961" width="3" style="3" customWidth="1"/>
    <col min="8962" max="8962" width="69.5703125" style="3" customWidth="1"/>
    <col min="8963" max="8963" width="23.42578125" style="3" customWidth="1"/>
    <col min="8964" max="9216" width="11.42578125" style="3"/>
    <col min="9217" max="9217" width="3" style="3" customWidth="1"/>
    <col min="9218" max="9218" width="69.5703125" style="3" customWidth="1"/>
    <col min="9219" max="9219" width="23.42578125" style="3" customWidth="1"/>
    <col min="9220" max="9472" width="11.42578125" style="3"/>
    <col min="9473" max="9473" width="3" style="3" customWidth="1"/>
    <col min="9474" max="9474" width="69.5703125" style="3" customWidth="1"/>
    <col min="9475" max="9475" width="23.42578125" style="3" customWidth="1"/>
    <col min="9476" max="9728" width="11.42578125" style="3"/>
    <col min="9729" max="9729" width="3" style="3" customWidth="1"/>
    <col min="9730" max="9730" width="69.5703125" style="3" customWidth="1"/>
    <col min="9731" max="9731" width="23.42578125" style="3" customWidth="1"/>
    <col min="9732" max="9984" width="11.42578125" style="3"/>
    <col min="9985" max="9985" width="3" style="3" customWidth="1"/>
    <col min="9986" max="9986" width="69.5703125" style="3" customWidth="1"/>
    <col min="9987" max="9987" width="23.42578125" style="3" customWidth="1"/>
    <col min="9988" max="10240" width="11.42578125" style="3"/>
    <col min="10241" max="10241" width="3" style="3" customWidth="1"/>
    <col min="10242" max="10242" width="69.5703125" style="3" customWidth="1"/>
    <col min="10243" max="10243" width="23.42578125" style="3" customWidth="1"/>
    <col min="10244" max="10496" width="11.42578125" style="3"/>
    <col min="10497" max="10497" width="3" style="3" customWidth="1"/>
    <col min="10498" max="10498" width="69.5703125" style="3" customWidth="1"/>
    <col min="10499" max="10499" width="23.42578125" style="3" customWidth="1"/>
    <col min="10500" max="10752" width="11.42578125" style="3"/>
    <col min="10753" max="10753" width="3" style="3" customWidth="1"/>
    <col min="10754" max="10754" width="69.5703125" style="3" customWidth="1"/>
    <col min="10755" max="10755" width="23.42578125" style="3" customWidth="1"/>
    <col min="10756" max="11008" width="11.42578125" style="3"/>
    <col min="11009" max="11009" width="3" style="3" customWidth="1"/>
    <col min="11010" max="11010" width="69.5703125" style="3" customWidth="1"/>
    <col min="11011" max="11011" width="23.42578125" style="3" customWidth="1"/>
    <col min="11012" max="11264" width="11.42578125" style="3"/>
    <col min="11265" max="11265" width="3" style="3" customWidth="1"/>
    <col min="11266" max="11266" width="69.5703125" style="3" customWidth="1"/>
    <col min="11267" max="11267" width="23.42578125" style="3" customWidth="1"/>
    <col min="11268" max="11520" width="11.42578125" style="3"/>
    <col min="11521" max="11521" width="3" style="3" customWidth="1"/>
    <col min="11522" max="11522" width="69.5703125" style="3" customWidth="1"/>
    <col min="11523" max="11523" width="23.42578125" style="3" customWidth="1"/>
    <col min="11524" max="11776" width="11.42578125" style="3"/>
    <col min="11777" max="11777" width="3" style="3" customWidth="1"/>
    <col min="11778" max="11778" width="69.5703125" style="3" customWidth="1"/>
    <col min="11779" max="11779" width="23.42578125" style="3" customWidth="1"/>
    <col min="11780" max="12032" width="11.42578125" style="3"/>
    <col min="12033" max="12033" width="3" style="3" customWidth="1"/>
    <col min="12034" max="12034" width="69.5703125" style="3" customWidth="1"/>
    <col min="12035" max="12035" width="23.42578125" style="3" customWidth="1"/>
    <col min="12036" max="12288" width="11.42578125" style="3"/>
    <col min="12289" max="12289" width="3" style="3" customWidth="1"/>
    <col min="12290" max="12290" width="69.5703125" style="3" customWidth="1"/>
    <col min="12291" max="12291" width="23.42578125" style="3" customWidth="1"/>
    <col min="12292" max="12544" width="11.42578125" style="3"/>
    <col min="12545" max="12545" width="3" style="3" customWidth="1"/>
    <col min="12546" max="12546" width="69.5703125" style="3" customWidth="1"/>
    <col min="12547" max="12547" width="23.42578125" style="3" customWidth="1"/>
    <col min="12548" max="12800" width="11.42578125" style="3"/>
    <col min="12801" max="12801" width="3" style="3" customWidth="1"/>
    <col min="12802" max="12802" width="69.5703125" style="3" customWidth="1"/>
    <col min="12803" max="12803" width="23.42578125" style="3" customWidth="1"/>
    <col min="12804" max="13056" width="11.42578125" style="3"/>
    <col min="13057" max="13057" width="3" style="3" customWidth="1"/>
    <col min="13058" max="13058" width="69.5703125" style="3" customWidth="1"/>
    <col min="13059" max="13059" width="23.42578125" style="3" customWidth="1"/>
    <col min="13060" max="13312" width="11.42578125" style="3"/>
    <col min="13313" max="13313" width="3" style="3" customWidth="1"/>
    <col min="13314" max="13314" width="69.5703125" style="3" customWidth="1"/>
    <col min="13315" max="13315" width="23.42578125" style="3" customWidth="1"/>
    <col min="13316" max="13568" width="11.42578125" style="3"/>
    <col min="13569" max="13569" width="3" style="3" customWidth="1"/>
    <col min="13570" max="13570" width="69.5703125" style="3" customWidth="1"/>
    <col min="13571" max="13571" width="23.42578125" style="3" customWidth="1"/>
    <col min="13572" max="13824" width="11.42578125" style="3"/>
    <col min="13825" max="13825" width="3" style="3" customWidth="1"/>
    <col min="13826" max="13826" width="69.5703125" style="3" customWidth="1"/>
    <col min="13827" max="13827" width="23.42578125" style="3" customWidth="1"/>
    <col min="13828" max="14080" width="11.42578125" style="3"/>
    <col min="14081" max="14081" width="3" style="3" customWidth="1"/>
    <col min="14082" max="14082" width="69.5703125" style="3" customWidth="1"/>
    <col min="14083" max="14083" width="23.42578125" style="3" customWidth="1"/>
    <col min="14084" max="14336" width="11.42578125" style="3"/>
    <col min="14337" max="14337" width="3" style="3" customWidth="1"/>
    <col min="14338" max="14338" width="69.5703125" style="3" customWidth="1"/>
    <col min="14339" max="14339" width="23.42578125" style="3" customWidth="1"/>
    <col min="14340" max="14592" width="11.42578125" style="3"/>
    <col min="14593" max="14593" width="3" style="3" customWidth="1"/>
    <col min="14594" max="14594" width="69.5703125" style="3" customWidth="1"/>
    <col min="14595" max="14595" width="23.42578125" style="3" customWidth="1"/>
    <col min="14596" max="14848" width="11.42578125" style="3"/>
    <col min="14849" max="14849" width="3" style="3" customWidth="1"/>
    <col min="14850" max="14850" width="69.5703125" style="3" customWidth="1"/>
    <col min="14851" max="14851" width="23.42578125" style="3" customWidth="1"/>
    <col min="14852" max="15104" width="11.42578125" style="3"/>
    <col min="15105" max="15105" width="3" style="3" customWidth="1"/>
    <col min="15106" max="15106" width="69.5703125" style="3" customWidth="1"/>
    <col min="15107" max="15107" width="23.42578125" style="3" customWidth="1"/>
    <col min="15108" max="15360" width="11.42578125" style="3"/>
    <col min="15361" max="15361" width="3" style="3" customWidth="1"/>
    <col min="15362" max="15362" width="69.5703125" style="3" customWidth="1"/>
    <col min="15363" max="15363" width="23.42578125" style="3" customWidth="1"/>
    <col min="15364" max="15616" width="11.42578125" style="3"/>
    <col min="15617" max="15617" width="3" style="3" customWidth="1"/>
    <col min="15618" max="15618" width="69.5703125" style="3" customWidth="1"/>
    <col min="15619" max="15619" width="23.42578125" style="3" customWidth="1"/>
    <col min="15620" max="15872" width="11.42578125" style="3"/>
    <col min="15873" max="15873" width="3" style="3" customWidth="1"/>
    <col min="15874" max="15874" width="69.5703125" style="3" customWidth="1"/>
    <col min="15875" max="15875" width="23.42578125" style="3" customWidth="1"/>
    <col min="15876" max="16128" width="11.42578125" style="3"/>
    <col min="16129" max="16129" width="3" style="3" customWidth="1"/>
    <col min="16130" max="16130" width="69.5703125" style="3" customWidth="1"/>
    <col min="16131" max="16131" width="23.42578125" style="3" customWidth="1"/>
    <col min="16132" max="16384" width="11.42578125" style="3"/>
  </cols>
  <sheetData>
    <row r="1" spans="2:3" ht="12" x14ac:dyDescent="0.25">
      <c r="B1" s="4"/>
    </row>
    <row r="2" spans="2:3" s="11" customFormat="1" ht="15.75" x14ac:dyDescent="0.25">
      <c r="B2" s="303" t="s">
        <v>38</v>
      </c>
      <c r="C2" s="303"/>
    </row>
    <row r="3" spans="2:3" s="12" customFormat="1" ht="20.25" customHeight="1" x14ac:dyDescent="0.25">
      <c r="B3" s="304" t="s">
        <v>39</v>
      </c>
      <c r="C3" s="304"/>
    </row>
    <row r="4" spans="2:3" s="12" customFormat="1" ht="30" customHeight="1" x14ac:dyDescent="0.25">
      <c r="B4" s="305" t="s">
        <v>40</v>
      </c>
      <c r="C4" s="305"/>
    </row>
    <row r="5" spans="2:3" s="12" customFormat="1" ht="19.5" customHeight="1" x14ac:dyDescent="0.25">
      <c r="B5" s="305" t="s">
        <v>45</v>
      </c>
      <c r="C5" s="305"/>
    </row>
    <row r="6" spans="2:3" s="12" customFormat="1" ht="12" x14ac:dyDescent="0.25">
      <c r="B6" s="305"/>
      <c r="C6" s="305"/>
    </row>
    <row r="7" spans="2:3" s="12" customFormat="1" ht="18" x14ac:dyDescent="0.25">
      <c r="B7" s="306" t="s">
        <v>46</v>
      </c>
      <c r="C7" s="306"/>
    </row>
    <row r="8" spans="2:3" s="12" customFormat="1" ht="12" x14ac:dyDescent="0.25">
      <c r="B8" s="5"/>
      <c r="C8" s="13"/>
    </row>
    <row r="9" spans="2:3" ht="18" x14ac:dyDescent="0.25">
      <c r="B9" s="301" t="s">
        <v>47</v>
      </c>
      <c r="C9" s="301"/>
    </row>
    <row r="10" spans="2:3" ht="12" x14ac:dyDescent="0.25">
      <c r="B10" s="5"/>
      <c r="C10" s="14"/>
    </row>
    <row r="11" spans="2:3" ht="24.75" customHeight="1" thickBot="1" x14ac:dyDescent="0.3">
      <c r="B11" s="302" t="s">
        <v>48</v>
      </c>
      <c r="C11" s="302"/>
    </row>
    <row r="12" spans="2:3" ht="57" customHeight="1" thickBot="1" x14ac:dyDescent="0.3">
      <c r="B12" s="15" t="s">
        <v>49</v>
      </c>
      <c r="C12" s="16" t="e">
        <f>+#REF!+#REF!+#REF!</f>
        <v>#REF!</v>
      </c>
    </row>
    <row r="13" spans="2:3" ht="12" x14ac:dyDescent="0.25">
      <c r="B13" s="7"/>
      <c r="C13" s="17"/>
    </row>
    <row r="14" spans="2:3" ht="27" customHeight="1" thickBot="1" x14ac:dyDescent="0.3">
      <c r="B14" s="9" t="s">
        <v>50</v>
      </c>
      <c r="C14" s="9"/>
    </row>
    <row r="15" spans="2:3" ht="40.5" customHeight="1" thickBot="1" x14ac:dyDescent="0.3">
      <c r="B15" s="15" t="s">
        <v>51</v>
      </c>
      <c r="C15" s="16" t="e">
        <f>+#REF!+#REF!</f>
        <v>#REF!</v>
      </c>
    </row>
    <row r="16" spans="2:3" ht="12" x14ac:dyDescent="0.25">
      <c r="B16" s="9"/>
      <c r="C16" s="17"/>
    </row>
    <row r="17" spans="2:3" ht="31.5" customHeight="1" thickBot="1" x14ac:dyDescent="0.3">
      <c r="B17" s="9" t="s">
        <v>52</v>
      </c>
      <c r="C17" s="9"/>
    </row>
    <row r="18" spans="2:3" ht="46.5" customHeight="1" thickBot="1" x14ac:dyDescent="0.3">
      <c r="B18" s="15" t="s">
        <v>53</v>
      </c>
      <c r="C18" s="18" t="e">
        <f>ROUND((C12+C15)*0.16,0)</f>
        <v>#REF!</v>
      </c>
    </row>
    <row r="19" spans="2:3" ht="21.75" customHeight="1" thickBot="1" x14ac:dyDescent="0.3">
      <c r="B19" s="8"/>
      <c r="C19" s="19"/>
    </row>
    <row r="20" spans="2:3" ht="42.75" customHeight="1" thickBot="1" x14ac:dyDescent="0.3">
      <c r="B20" s="20" t="s">
        <v>54</v>
      </c>
      <c r="C20" s="18" t="e">
        <f>+C12+C15+C18</f>
        <v>#REF!</v>
      </c>
    </row>
    <row r="21" spans="2:3" ht="12" x14ac:dyDescent="0.25">
      <c r="B21" s="9"/>
      <c r="C21" s="17"/>
    </row>
    <row r="22" spans="2:3" ht="12" x14ac:dyDescent="0.25"/>
    <row r="23" spans="2:3" ht="46.5" customHeight="1" x14ac:dyDescent="0.25"/>
    <row r="24" spans="2:3" ht="12" x14ac:dyDescent="0.25">
      <c r="B24" s="21" t="s">
        <v>55</v>
      </c>
      <c r="C24" s="13"/>
    </row>
    <row r="25" spans="2:3" ht="12" x14ac:dyDescent="0.25">
      <c r="B25" s="9"/>
      <c r="C25" s="17"/>
    </row>
  </sheetData>
  <sheetProtection password="C977" sheet="1" objects="1" scenarios="1"/>
  <protectedRanges>
    <protectedRange sqref="C15" name="Rango1_4_1_2_1_1"/>
  </protectedRanges>
  <mergeCells count="8">
    <mergeCell ref="B9:C9"/>
    <mergeCell ref="B11:C11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2C0B-70B8-41DE-9D07-093CD9ACAE9A}">
  <dimension ref="B5:I42"/>
  <sheetViews>
    <sheetView topLeftCell="B6" zoomScale="70" zoomScaleNormal="70" workbookViewId="0">
      <selection activeCell="I10" sqref="I10"/>
    </sheetView>
  </sheetViews>
  <sheetFormatPr baseColWidth="10" defaultColWidth="11.42578125" defaultRowHeight="15" x14ac:dyDescent="0.25"/>
  <cols>
    <col min="1" max="1" width="4" style="273" customWidth="1"/>
    <col min="2" max="2" width="41.5703125" style="273" customWidth="1"/>
    <col min="3" max="3" width="59.28515625" style="273" customWidth="1"/>
    <col min="4" max="4" width="65.5703125" style="273" customWidth="1"/>
    <col min="5" max="5" width="17.140625" style="273" customWidth="1"/>
    <col min="6" max="6" width="22.140625" style="274" customWidth="1"/>
    <col min="7" max="7" width="20.42578125" style="274" customWidth="1"/>
    <col min="8" max="8" width="23.7109375" style="274" customWidth="1"/>
    <col min="9" max="9" width="15.5703125" style="273" bestFit="1" customWidth="1"/>
    <col min="10" max="16384" width="11.42578125" style="273"/>
  </cols>
  <sheetData>
    <row r="5" spans="2:8" ht="21" x14ac:dyDescent="0.25">
      <c r="B5" s="340" t="s">
        <v>248</v>
      </c>
      <c r="C5" s="340"/>
      <c r="D5" s="340"/>
      <c r="E5" s="340"/>
      <c r="F5" s="340"/>
      <c r="G5" s="340"/>
      <c r="H5" s="340"/>
    </row>
    <row r="6" spans="2:8" ht="51" customHeight="1" x14ac:dyDescent="0.25">
      <c r="B6" s="341" t="s">
        <v>249</v>
      </c>
      <c r="C6" s="341"/>
      <c r="D6" s="341"/>
      <c r="E6" s="341"/>
      <c r="F6" s="341"/>
      <c r="G6" s="341"/>
      <c r="H6" s="341"/>
    </row>
    <row r="7" spans="2:8" ht="29.25" customHeight="1" x14ac:dyDescent="0.25">
      <c r="B7" s="273" t="s">
        <v>250</v>
      </c>
    </row>
    <row r="9" spans="2:8" s="279" customFormat="1" ht="42" customHeight="1" x14ac:dyDescent="0.25">
      <c r="B9" s="339" t="s">
        <v>142</v>
      </c>
      <c r="C9" s="339"/>
      <c r="D9" s="275" t="s">
        <v>144</v>
      </c>
      <c r="E9" s="275" t="s">
        <v>143</v>
      </c>
      <c r="F9" s="276" t="s">
        <v>185</v>
      </c>
      <c r="G9" s="277" t="s">
        <v>146</v>
      </c>
      <c r="H9" s="278" t="s">
        <v>145</v>
      </c>
    </row>
    <row r="10" spans="2:8" ht="40.5" customHeight="1" x14ac:dyDescent="0.25">
      <c r="B10" s="338" t="s">
        <v>138</v>
      </c>
      <c r="C10" s="325" t="s">
        <v>251</v>
      </c>
      <c r="D10" s="280" t="s">
        <v>133</v>
      </c>
      <c r="E10" s="281" t="s">
        <v>164</v>
      </c>
      <c r="F10" s="282">
        <v>7420229.6399999997</v>
      </c>
      <c r="G10" s="283">
        <v>2.19</v>
      </c>
      <c r="H10" s="284">
        <f t="shared" ref="H10:H19" si="0">+F10*G10</f>
        <v>16250302.911599999</v>
      </c>
    </row>
    <row r="11" spans="2:8" ht="36.75" customHeight="1" x14ac:dyDescent="0.25">
      <c r="B11" s="338"/>
      <c r="C11" s="325"/>
      <c r="D11" s="280" t="s">
        <v>133</v>
      </c>
      <c r="E11" s="281" t="s">
        <v>165</v>
      </c>
      <c r="F11" s="282">
        <v>6262387.5599999996</v>
      </c>
      <c r="G11" s="283">
        <f t="shared" ref="G11:G19" si="1">+$G$10</f>
        <v>2.19</v>
      </c>
      <c r="H11" s="284">
        <f t="shared" si="0"/>
        <v>13714628.756399998</v>
      </c>
    </row>
    <row r="12" spans="2:8" ht="41.25" customHeight="1" x14ac:dyDescent="0.25">
      <c r="B12" s="338"/>
      <c r="C12" s="325"/>
      <c r="D12" s="280" t="s">
        <v>133</v>
      </c>
      <c r="E12" s="281" t="s">
        <v>166</v>
      </c>
      <c r="F12" s="282">
        <v>5333123.16</v>
      </c>
      <c r="G12" s="283">
        <f t="shared" si="1"/>
        <v>2.19</v>
      </c>
      <c r="H12" s="284">
        <f t="shared" si="0"/>
        <v>11679539.7204</v>
      </c>
    </row>
    <row r="13" spans="2:8" ht="47.25" customHeight="1" x14ac:dyDescent="0.25">
      <c r="B13" s="338" t="s">
        <v>68</v>
      </c>
      <c r="C13" s="325" t="s">
        <v>252</v>
      </c>
      <c r="D13" s="280" t="s">
        <v>133</v>
      </c>
      <c r="E13" s="281" t="s">
        <v>164</v>
      </c>
      <c r="F13" s="282">
        <v>7420229.6399999997</v>
      </c>
      <c r="G13" s="283">
        <f t="shared" si="1"/>
        <v>2.19</v>
      </c>
      <c r="H13" s="284">
        <f t="shared" si="0"/>
        <v>16250302.911599999</v>
      </c>
    </row>
    <row r="14" spans="2:8" ht="41.25" customHeight="1" x14ac:dyDescent="0.25">
      <c r="B14" s="338"/>
      <c r="C14" s="325"/>
      <c r="D14" s="280" t="s">
        <v>133</v>
      </c>
      <c r="E14" s="281" t="s">
        <v>165</v>
      </c>
      <c r="F14" s="282">
        <v>6262387.5599999996</v>
      </c>
      <c r="G14" s="283">
        <f t="shared" si="1"/>
        <v>2.19</v>
      </c>
      <c r="H14" s="284">
        <f t="shared" si="0"/>
        <v>13714628.756399998</v>
      </c>
    </row>
    <row r="15" spans="2:8" ht="41.25" customHeight="1" x14ac:dyDescent="0.25">
      <c r="B15" s="338"/>
      <c r="C15" s="325"/>
      <c r="D15" s="280" t="s">
        <v>133</v>
      </c>
      <c r="E15" s="281" t="s">
        <v>166</v>
      </c>
      <c r="F15" s="282">
        <v>5333123.16</v>
      </c>
      <c r="G15" s="283">
        <f t="shared" si="1"/>
        <v>2.19</v>
      </c>
      <c r="H15" s="284">
        <f t="shared" si="0"/>
        <v>11679539.7204</v>
      </c>
    </row>
    <row r="16" spans="2:8" ht="41.25" customHeight="1" x14ac:dyDescent="0.25">
      <c r="B16" s="338"/>
      <c r="C16" s="325"/>
      <c r="D16" s="280" t="s">
        <v>133</v>
      </c>
      <c r="E16" s="281" t="s">
        <v>167</v>
      </c>
      <c r="F16" s="282">
        <v>4808676.24</v>
      </c>
      <c r="G16" s="283">
        <f t="shared" si="1"/>
        <v>2.19</v>
      </c>
      <c r="H16" s="284">
        <f t="shared" si="0"/>
        <v>10531000.965600001</v>
      </c>
    </row>
    <row r="17" spans="2:9" ht="41.25" customHeight="1" x14ac:dyDescent="0.25">
      <c r="B17" s="338"/>
      <c r="C17" s="325"/>
      <c r="D17" s="280" t="s">
        <v>133</v>
      </c>
      <c r="E17" s="281" t="s">
        <v>168</v>
      </c>
      <c r="F17" s="282">
        <v>4288501.8</v>
      </c>
      <c r="G17" s="283">
        <f t="shared" si="1"/>
        <v>2.19</v>
      </c>
      <c r="H17" s="284">
        <f t="shared" si="0"/>
        <v>9391818.9419999998</v>
      </c>
    </row>
    <row r="18" spans="2:9" ht="41.25" customHeight="1" x14ac:dyDescent="0.25">
      <c r="B18" s="338"/>
      <c r="C18" s="325"/>
      <c r="D18" s="280" t="s">
        <v>133</v>
      </c>
      <c r="E18" s="281" t="s">
        <v>169</v>
      </c>
      <c r="F18" s="282">
        <v>3242812.32</v>
      </c>
      <c r="G18" s="283">
        <f t="shared" si="1"/>
        <v>2.19</v>
      </c>
      <c r="H18" s="284">
        <f t="shared" si="0"/>
        <v>7101758.9807999991</v>
      </c>
    </row>
    <row r="19" spans="2:9" ht="63.75" customHeight="1" x14ac:dyDescent="0.25">
      <c r="B19" s="338"/>
      <c r="C19" s="325"/>
      <c r="D19" s="280" t="s">
        <v>133</v>
      </c>
      <c r="E19" s="281" t="s">
        <v>137</v>
      </c>
      <c r="F19" s="282">
        <v>3060163.8000000003</v>
      </c>
      <c r="G19" s="283">
        <f t="shared" si="1"/>
        <v>2.19</v>
      </c>
      <c r="H19" s="284">
        <f t="shared" si="0"/>
        <v>6701758.7220000001</v>
      </c>
    </row>
    <row r="20" spans="2:9" x14ac:dyDescent="0.25">
      <c r="F20" s="285"/>
      <c r="G20" s="285"/>
      <c r="H20" s="285"/>
    </row>
    <row r="21" spans="2:9" ht="24.95" customHeight="1" x14ac:dyDescent="0.25">
      <c r="B21" s="332" t="s">
        <v>140</v>
      </c>
      <c r="C21" s="335" t="s">
        <v>141</v>
      </c>
      <c r="D21" s="280" t="s">
        <v>136</v>
      </c>
      <c r="E21" s="281" t="s">
        <v>170</v>
      </c>
      <c r="F21" s="286">
        <v>2241810</v>
      </c>
      <c r="G21" s="283">
        <f t="shared" ref="G21:G28" si="2">+$G$10</f>
        <v>2.19</v>
      </c>
      <c r="H21" s="284">
        <f t="shared" ref="H21:H28" si="3">+F21*G21</f>
        <v>4909563.8999999994</v>
      </c>
    </row>
    <row r="22" spans="2:9" ht="24.95" customHeight="1" x14ac:dyDescent="0.25">
      <c r="B22" s="333"/>
      <c r="C22" s="336"/>
      <c r="D22" s="280" t="s">
        <v>72</v>
      </c>
      <c r="E22" s="281" t="s">
        <v>171</v>
      </c>
      <c r="F22" s="286">
        <v>2151765</v>
      </c>
      <c r="G22" s="283">
        <f t="shared" si="2"/>
        <v>2.19</v>
      </c>
      <c r="H22" s="284">
        <f t="shared" si="3"/>
        <v>4712365.3499999996</v>
      </c>
    </row>
    <row r="23" spans="2:9" ht="24.95" customHeight="1" x14ac:dyDescent="0.25">
      <c r="B23" s="333"/>
      <c r="C23" s="336"/>
      <c r="D23" s="280" t="s">
        <v>135</v>
      </c>
      <c r="E23" s="281" t="s">
        <v>172</v>
      </c>
      <c r="F23" s="286">
        <v>1984094.9999999998</v>
      </c>
      <c r="G23" s="283">
        <f t="shared" si="2"/>
        <v>2.19</v>
      </c>
      <c r="H23" s="284">
        <f t="shared" si="3"/>
        <v>4345168.05</v>
      </c>
    </row>
    <row r="24" spans="2:9" ht="24.95" customHeight="1" x14ac:dyDescent="0.25">
      <c r="B24" s="333"/>
      <c r="C24" s="336"/>
      <c r="D24" s="280" t="s">
        <v>73</v>
      </c>
      <c r="E24" s="281" t="s">
        <v>173</v>
      </c>
      <c r="F24" s="286">
        <v>1891979.9999999998</v>
      </c>
      <c r="G24" s="283">
        <f t="shared" si="2"/>
        <v>2.19</v>
      </c>
      <c r="H24" s="284">
        <f t="shared" si="3"/>
        <v>4143436.1999999993</v>
      </c>
    </row>
    <row r="25" spans="2:9" ht="24.95" customHeight="1" x14ac:dyDescent="0.25">
      <c r="B25" s="333"/>
      <c r="C25" s="336"/>
      <c r="D25" s="280" t="s">
        <v>75</v>
      </c>
      <c r="E25" s="281" t="s">
        <v>174</v>
      </c>
      <c r="F25" s="286">
        <v>1840229.9999999998</v>
      </c>
      <c r="G25" s="283">
        <f t="shared" si="2"/>
        <v>2.19</v>
      </c>
      <c r="H25" s="284">
        <f t="shared" si="3"/>
        <v>4030103.6999999993</v>
      </c>
    </row>
    <row r="26" spans="2:9" ht="24.95" customHeight="1" x14ac:dyDescent="0.25">
      <c r="B26" s="333"/>
      <c r="C26" s="336"/>
      <c r="D26" s="280" t="s">
        <v>134</v>
      </c>
      <c r="E26" s="281" t="s">
        <v>175</v>
      </c>
      <c r="F26" s="286">
        <v>1632194.9999999998</v>
      </c>
      <c r="G26" s="283">
        <f t="shared" si="2"/>
        <v>2.19</v>
      </c>
      <c r="H26" s="284">
        <f t="shared" si="3"/>
        <v>3574507.0499999993</v>
      </c>
    </row>
    <row r="27" spans="2:9" ht="24.95" customHeight="1" x14ac:dyDescent="0.25">
      <c r="B27" s="333"/>
      <c r="C27" s="336"/>
      <c r="D27" s="280" t="s">
        <v>77</v>
      </c>
      <c r="E27" s="281" t="s">
        <v>177</v>
      </c>
      <c r="F27" s="286">
        <v>1469700</v>
      </c>
      <c r="G27" s="283">
        <f t="shared" si="2"/>
        <v>2.19</v>
      </c>
      <c r="H27" s="284">
        <f t="shared" si="3"/>
        <v>3218643</v>
      </c>
    </row>
    <row r="28" spans="2:9" ht="24.95" customHeight="1" x14ac:dyDescent="0.25">
      <c r="B28" s="334"/>
      <c r="C28" s="337"/>
      <c r="D28" s="280" t="s">
        <v>179</v>
      </c>
      <c r="E28" s="281" t="s">
        <v>178</v>
      </c>
      <c r="F28" s="286">
        <v>1391040</v>
      </c>
      <c r="G28" s="283">
        <f t="shared" si="2"/>
        <v>2.19</v>
      </c>
      <c r="H28" s="284">
        <f t="shared" si="3"/>
        <v>3046377.6</v>
      </c>
    </row>
    <row r="29" spans="2:9" ht="3.75" customHeight="1" x14ac:dyDescent="0.25"/>
    <row r="30" spans="2:9" x14ac:dyDescent="0.25">
      <c r="B30" s="338" t="s">
        <v>163</v>
      </c>
      <c r="C30" s="338" t="s">
        <v>163</v>
      </c>
      <c r="D30" s="275" t="s">
        <v>157</v>
      </c>
      <c r="E30" s="275" t="s">
        <v>156</v>
      </c>
      <c r="F30" s="339" t="s">
        <v>154</v>
      </c>
      <c r="G30" s="339"/>
      <c r="H30" s="275" t="s">
        <v>155</v>
      </c>
    </row>
    <row r="31" spans="2:9" x14ac:dyDescent="0.25">
      <c r="B31" s="338"/>
      <c r="C31" s="338"/>
      <c r="D31" s="287" t="s">
        <v>147</v>
      </c>
      <c r="E31" s="288" t="s">
        <v>148</v>
      </c>
      <c r="F31" s="289">
        <v>102432.70799999998</v>
      </c>
      <c r="G31" s="289"/>
      <c r="H31" s="289">
        <f>+F31*30</f>
        <v>3072981.2399999993</v>
      </c>
      <c r="I31" s="274"/>
    </row>
    <row r="32" spans="2:9" x14ac:dyDescent="0.25">
      <c r="B32" s="338"/>
      <c r="C32" s="338"/>
      <c r="D32" s="287" t="s">
        <v>66</v>
      </c>
      <c r="E32" s="288" t="s">
        <v>151</v>
      </c>
      <c r="F32" s="289">
        <v>159719.18796000001</v>
      </c>
      <c r="G32" s="289"/>
      <c r="H32" s="289">
        <f t="shared" ref="H32:H33" si="4">+F32*30</f>
        <v>4791575.6388000008</v>
      </c>
      <c r="I32" s="274"/>
    </row>
    <row r="33" spans="2:9" x14ac:dyDescent="0.25">
      <c r="B33" s="338"/>
      <c r="C33" s="338"/>
      <c r="D33" s="287" t="s">
        <v>67</v>
      </c>
      <c r="E33" s="288" t="s">
        <v>152</v>
      </c>
      <c r="F33" s="289">
        <v>204972.22799999997</v>
      </c>
      <c r="G33" s="289"/>
      <c r="H33" s="289">
        <f t="shared" si="4"/>
        <v>6149166.8399999989</v>
      </c>
      <c r="I33" s="274"/>
    </row>
    <row r="35" spans="2:9" ht="15" customHeight="1" x14ac:dyDescent="0.25">
      <c r="B35" s="324" t="s">
        <v>182</v>
      </c>
      <c r="C35" s="325" t="s">
        <v>253</v>
      </c>
      <c r="D35" s="325"/>
      <c r="E35" s="326" t="s">
        <v>184</v>
      </c>
      <c r="F35" s="327"/>
      <c r="G35" s="327"/>
      <c r="H35" s="328"/>
    </row>
    <row r="36" spans="2:9" ht="15.75" customHeight="1" x14ac:dyDescent="0.25">
      <c r="B36" s="324"/>
      <c r="C36" s="325"/>
      <c r="D36" s="325"/>
      <c r="E36" s="329">
        <v>0.06</v>
      </c>
      <c r="F36" s="330"/>
      <c r="G36" s="330"/>
      <c r="H36" s="331"/>
    </row>
    <row r="38" spans="2:9" ht="16.5" x14ac:dyDescent="0.25">
      <c r="B38" s="290" t="s">
        <v>181</v>
      </c>
    </row>
    <row r="39" spans="2:9" ht="16.5" x14ac:dyDescent="0.25">
      <c r="B39" s="290" t="s">
        <v>188</v>
      </c>
    </row>
    <row r="40" spans="2:9" ht="16.5" x14ac:dyDescent="0.25">
      <c r="B40" s="290" t="s">
        <v>254</v>
      </c>
    </row>
    <row r="41" spans="2:9" ht="16.5" x14ac:dyDescent="0.25">
      <c r="B41" s="290" t="s">
        <v>255</v>
      </c>
    </row>
    <row r="42" spans="2:9" ht="16.5" x14ac:dyDescent="0.25">
      <c r="B42" s="290" t="s">
        <v>256</v>
      </c>
    </row>
  </sheetData>
  <protectedRanges>
    <protectedRange sqref="H9" name="Rango1_4_1_2_1_1"/>
    <protectedRange sqref="E35" name="Rango1_4_2_1"/>
  </protectedRanges>
  <mergeCells count="16">
    <mergeCell ref="B13:B19"/>
    <mergeCell ref="C13:C19"/>
    <mergeCell ref="B5:H5"/>
    <mergeCell ref="B6:H6"/>
    <mergeCell ref="B9:C9"/>
    <mergeCell ref="B10:B12"/>
    <mergeCell ref="C10:C12"/>
    <mergeCell ref="B35:B36"/>
    <mergeCell ref="C35:D36"/>
    <mergeCell ref="E35:H35"/>
    <mergeCell ref="E36:H36"/>
    <mergeCell ref="B21:B28"/>
    <mergeCell ref="C21:C28"/>
    <mergeCell ref="B30:B33"/>
    <mergeCell ref="C30:C33"/>
    <mergeCell ref="F30:G3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6DA4-DD62-4489-A3FD-4063E92DCB50}">
  <sheetPr>
    <tabColor rgb="FF00B050"/>
    <pageSetUpPr fitToPage="1"/>
  </sheetPr>
  <dimension ref="A5:L70"/>
  <sheetViews>
    <sheetView tabSelected="1" view="pageBreakPreview" topLeftCell="A6" zoomScale="70" zoomScaleNormal="85" zoomScaleSheetLayoutView="70" workbookViewId="0">
      <selection activeCell="G28" sqref="G28"/>
    </sheetView>
  </sheetViews>
  <sheetFormatPr baseColWidth="10" defaultColWidth="11.42578125" defaultRowHeight="15" x14ac:dyDescent="0.25"/>
  <cols>
    <col min="1" max="1" width="4" style="173" customWidth="1"/>
    <col min="2" max="2" width="59.5703125" style="173" customWidth="1"/>
    <col min="3" max="3" width="71.85546875" style="234" customWidth="1"/>
    <col min="4" max="4" width="17.5703125" style="173" hidden="1" customWidth="1"/>
    <col min="5" max="5" width="16.7109375" style="173" customWidth="1"/>
    <col min="6" max="6" width="24.42578125" style="173" customWidth="1"/>
    <col min="7" max="7" width="24.85546875" style="175" customWidth="1"/>
    <col min="8" max="8" width="27.42578125" style="175" customWidth="1"/>
    <col min="9" max="9" width="25.5703125" style="175" customWidth="1"/>
    <col min="10" max="10" width="31.42578125" style="175" customWidth="1"/>
    <col min="11" max="11" width="11.42578125" style="174"/>
    <col min="12" max="12" width="22" style="173" bestFit="1" customWidth="1"/>
    <col min="13" max="16384" width="11.42578125" style="173"/>
  </cols>
  <sheetData>
    <row r="5" spans="2:10" ht="15.75" x14ac:dyDescent="0.25">
      <c r="B5" s="317" t="s">
        <v>264</v>
      </c>
      <c r="C5" s="317"/>
      <c r="D5" s="317"/>
      <c r="E5" s="317"/>
      <c r="F5" s="317"/>
      <c r="G5" s="317"/>
      <c r="H5" s="317"/>
      <c r="I5" s="317"/>
      <c r="J5" s="317"/>
    </row>
    <row r="6" spans="2:10" ht="15.75" x14ac:dyDescent="0.25">
      <c r="B6" s="251" t="s">
        <v>244</v>
      </c>
      <c r="C6" s="234" t="s">
        <v>257</v>
      </c>
    </row>
    <row r="7" spans="2:10" ht="15.75" x14ac:dyDescent="0.25">
      <c r="B7" s="251"/>
      <c r="C7" s="234" t="s">
        <v>263</v>
      </c>
    </row>
    <row r="10" spans="2:10" ht="72" customHeight="1" x14ac:dyDescent="0.25">
      <c r="B10" s="221" t="s">
        <v>142</v>
      </c>
      <c r="C10" s="236" t="s">
        <v>144</v>
      </c>
      <c r="D10" s="176" t="s">
        <v>143</v>
      </c>
      <c r="E10" s="176" t="s">
        <v>1</v>
      </c>
      <c r="F10" s="176" t="s">
        <v>233</v>
      </c>
      <c r="G10" s="199" t="s">
        <v>191</v>
      </c>
      <c r="H10" s="179" t="s">
        <v>146</v>
      </c>
      <c r="I10" s="179" t="s">
        <v>229</v>
      </c>
      <c r="J10" s="180" t="s">
        <v>145</v>
      </c>
    </row>
    <row r="11" spans="2:10" ht="25.5" customHeight="1" x14ac:dyDescent="0.25">
      <c r="B11" s="176" t="s">
        <v>138</v>
      </c>
      <c r="C11" s="244" t="s">
        <v>200</v>
      </c>
      <c r="D11" s="182" t="s">
        <v>164</v>
      </c>
      <c r="E11" s="182">
        <v>1</v>
      </c>
      <c r="F11" s="219">
        <v>0.99896724574472751</v>
      </c>
      <c r="G11" s="257">
        <v>7420230</v>
      </c>
      <c r="H11" s="245">
        <v>2.19</v>
      </c>
      <c r="I11" s="263">
        <v>15</v>
      </c>
      <c r="J11" s="186">
        <f>ROUND(+I11*H11*G11*F11*E11,0)</f>
        <v>243502817</v>
      </c>
    </row>
    <row r="12" spans="2:10" x14ac:dyDescent="0.25">
      <c r="B12" s="318" t="s">
        <v>68</v>
      </c>
      <c r="C12" s="296" t="s">
        <v>220</v>
      </c>
      <c r="D12" s="182" t="s">
        <v>165</v>
      </c>
      <c r="E12" s="182">
        <v>1</v>
      </c>
      <c r="F12" s="219">
        <v>0.5</v>
      </c>
      <c r="G12" s="257">
        <v>6262388</v>
      </c>
      <c r="H12" s="245">
        <f t="shared" ref="H12:H28" si="0">+$H$11</f>
        <v>2.19</v>
      </c>
      <c r="I12" s="263">
        <v>15</v>
      </c>
      <c r="J12" s="186">
        <f t="shared" ref="J12:J28" si="1">ROUND(+I12*H12*G12*F12*E12,0)</f>
        <v>102859723</v>
      </c>
    </row>
    <row r="13" spans="2:10" ht="25.5" customHeight="1" x14ac:dyDescent="0.25">
      <c r="B13" s="318"/>
      <c r="C13" s="244" t="s">
        <v>203</v>
      </c>
      <c r="D13" s="182" t="s">
        <v>165</v>
      </c>
      <c r="E13" s="182">
        <v>1</v>
      </c>
      <c r="F13" s="219">
        <v>0.3</v>
      </c>
      <c r="G13" s="257">
        <v>6262388</v>
      </c>
      <c r="H13" s="245">
        <f t="shared" si="0"/>
        <v>2.19</v>
      </c>
      <c r="I13" s="263">
        <f>$I$11</f>
        <v>15</v>
      </c>
      <c r="J13" s="186">
        <f t="shared" si="1"/>
        <v>61715834</v>
      </c>
    </row>
    <row r="14" spans="2:10" ht="25.5" customHeight="1" x14ac:dyDescent="0.25">
      <c r="B14" s="318"/>
      <c r="C14" s="244" t="s">
        <v>204</v>
      </c>
      <c r="D14" s="182" t="s">
        <v>165</v>
      </c>
      <c r="E14" s="182">
        <v>1</v>
      </c>
      <c r="F14" s="219">
        <v>0.3</v>
      </c>
      <c r="G14" s="257">
        <v>6262388</v>
      </c>
      <c r="H14" s="245">
        <f t="shared" si="0"/>
        <v>2.19</v>
      </c>
      <c r="I14" s="263">
        <f t="shared" ref="I14:I28" si="2">$I$11</f>
        <v>15</v>
      </c>
      <c r="J14" s="186">
        <f t="shared" si="1"/>
        <v>61715834</v>
      </c>
    </row>
    <row r="15" spans="2:10" ht="25.5" customHeight="1" x14ac:dyDescent="0.25">
      <c r="B15" s="318"/>
      <c r="C15" s="244" t="s">
        <v>205</v>
      </c>
      <c r="D15" s="182" t="s">
        <v>165</v>
      </c>
      <c r="E15" s="182">
        <v>1</v>
      </c>
      <c r="F15" s="219">
        <v>0.3</v>
      </c>
      <c r="G15" s="257">
        <v>6262388</v>
      </c>
      <c r="H15" s="245">
        <f t="shared" si="0"/>
        <v>2.19</v>
      </c>
      <c r="I15" s="263">
        <f t="shared" si="2"/>
        <v>15</v>
      </c>
      <c r="J15" s="186">
        <f t="shared" si="1"/>
        <v>61715834</v>
      </c>
    </row>
    <row r="16" spans="2:10" ht="25.5" customHeight="1" x14ac:dyDescent="0.25">
      <c r="B16" s="318"/>
      <c r="C16" s="244" t="s">
        <v>206</v>
      </c>
      <c r="D16" s="182" t="s">
        <v>165</v>
      </c>
      <c r="E16" s="182">
        <v>1</v>
      </c>
      <c r="F16" s="219">
        <v>0.3</v>
      </c>
      <c r="G16" s="257">
        <v>6262388</v>
      </c>
      <c r="H16" s="245">
        <f t="shared" si="0"/>
        <v>2.19</v>
      </c>
      <c r="I16" s="263">
        <f t="shared" si="2"/>
        <v>15</v>
      </c>
      <c r="J16" s="186">
        <f t="shared" si="1"/>
        <v>61715834</v>
      </c>
    </row>
    <row r="17" spans="2:10" ht="25.5" customHeight="1" x14ac:dyDescent="0.25">
      <c r="B17" s="318"/>
      <c r="C17" s="244" t="s">
        <v>207</v>
      </c>
      <c r="D17" s="182" t="s">
        <v>165</v>
      </c>
      <c r="E17" s="182">
        <v>1</v>
      </c>
      <c r="F17" s="219">
        <v>0.3</v>
      </c>
      <c r="G17" s="257">
        <v>6262388</v>
      </c>
      <c r="H17" s="245">
        <f t="shared" si="0"/>
        <v>2.19</v>
      </c>
      <c r="I17" s="263">
        <v>15</v>
      </c>
      <c r="J17" s="186">
        <f t="shared" si="1"/>
        <v>61715834</v>
      </c>
    </row>
    <row r="18" spans="2:10" ht="25.5" customHeight="1" x14ac:dyDescent="0.25">
      <c r="B18" s="318"/>
      <c r="C18" s="237" t="s">
        <v>218</v>
      </c>
      <c r="D18" s="182" t="s">
        <v>165</v>
      </c>
      <c r="E18" s="182">
        <v>1</v>
      </c>
      <c r="F18" s="219">
        <v>0.3</v>
      </c>
      <c r="G18" s="257">
        <v>6262388</v>
      </c>
      <c r="H18" s="245">
        <f t="shared" si="0"/>
        <v>2.19</v>
      </c>
      <c r="I18" s="263">
        <f t="shared" si="2"/>
        <v>15</v>
      </c>
      <c r="J18" s="186">
        <f t="shared" si="1"/>
        <v>61715834</v>
      </c>
    </row>
    <row r="19" spans="2:10" ht="25.5" customHeight="1" x14ac:dyDescent="0.25">
      <c r="B19" s="318"/>
      <c r="C19" s="237" t="s">
        <v>219</v>
      </c>
      <c r="D19" s="182" t="s">
        <v>165</v>
      </c>
      <c r="E19" s="182">
        <v>1</v>
      </c>
      <c r="F19" s="219">
        <v>0.3</v>
      </c>
      <c r="G19" s="257">
        <v>6262388</v>
      </c>
      <c r="H19" s="245">
        <f t="shared" si="0"/>
        <v>2.19</v>
      </c>
      <c r="I19" s="263">
        <f t="shared" si="2"/>
        <v>15</v>
      </c>
      <c r="J19" s="186">
        <f t="shared" si="1"/>
        <v>61715834</v>
      </c>
    </row>
    <row r="20" spans="2:10" ht="25.5" customHeight="1" x14ac:dyDescent="0.25">
      <c r="B20" s="318"/>
      <c r="C20" s="237" t="s">
        <v>228</v>
      </c>
      <c r="D20" s="182" t="s">
        <v>165</v>
      </c>
      <c r="E20" s="297">
        <v>1</v>
      </c>
      <c r="F20" s="219">
        <v>0.2</v>
      </c>
      <c r="G20" s="257">
        <v>6262388</v>
      </c>
      <c r="H20" s="245">
        <f t="shared" si="0"/>
        <v>2.19</v>
      </c>
      <c r="I20" s="263">
        <f t="shared" si="2"/>
        <v>15</v>
      </c>
      <c r="J20" s="186">
        <f t="shared" si="1"/>
        <v>41143889</v>
      </c>
    </row>
    <row r="21" spans="2:10" ht="27.75" customHeight="1" x14ac:dyDescent="0.25">
      <c r="B21" s="318"/>
      <c r="C21" s="237" t="s">
        <v>221</v>
      </c>
      <c r="D21" s="182" t="s">
        <v>165</v>
      </c>
      <c r="E21" s="297">
        <v>4</v>
      </c>
      <c r="F21" s="219">
        <v>1</v>
      </c>
      <c r="G21" s="257">
        <v>6262388</v>
      </c>
      <c r="H21" s="245">
        <f t="shared" si="0"/>
        <v>2.19</v>
      </c>
      <c r="I21" s="263">
        <f t="shared" si="2"/>
        <v>15</v>
      </c>
      <c r="J21" s="186">
        <f t="shared" si="1"/>
        <v>822877783</v>
      </c>
    </row>
    <row r="22" spans="2:10" ht="25.5" customHeight="1" x14ac:dyDescent="0.25">
      <c r="B22" s="318"/>
      <c r="C22" s="237" t="s">
        <v>230</v>
      </c>
      <c r="D22" s="182" t="s">
        <v>165</v>
      </c>
      <c r="E22" s="297">
        <v>1</v>
      </c>
      <c r="F22" s="219">
        <v>1</v>
      </c>
      <c r="G22" s="257">
        <v>6262388</v>
      </c>
      <c r="H22" s="245">
        <f t="shared" si="0"/>
        <v>2.19</v>
      </c>
      <c r="I22" s="263">
        <f t="shared" si="2"/>
        <v>15</v>
      </c>
      <c r="J22" s="186">
        <f t="shared" si="1"/>
        <v>205719446</v>
      </c>
    </row>
    <row r="23" spans="2:10" ht="25.5" customHeight="1" x14ac:dyDescent="0.25">
      <c r="B23" s="318"/>
      <c r="C23" s="237" t="s">
        <v>227</v>
      </c>
      <c r="D23" s="182" t="s">
        <v>166</v>
      </c>
      <c r="E23" s="297">
        <v>1</v>
      </c>
      <c r="F23" s="219">
        <v>1</v>
      </c>
      <c r="G23" s="257">
        <v>5333123</v>
      </c>
      <c r="H23" s="245">
        <f t="shared" si="0"/>
        <v>2.19</v>
      </c>
      <c r="I23" s="263">
        <f t="shared" si="2"/>
        <v>15</v>
      </c>
      <c r="J23" s="186">
        <f t="shared" si="1"/>
        <v>175193091</v>
      </c>
    </row>
    <row r="24" spans="2:10" x14ac:dyDescent="0.25">
      <c r="B24" s="319" t="s">
        <v>140</v>
      </c>
      <c r="C24" s="244" t="s">
        <v>265</v>
      </c>
      <c r="D24" s="182" t="s">
        <v>170</v>
      </c>
      <c r="E24" s="297">
        <v>1</v>
      </c>
      <c r="F24" s="219">
        <v>1</v>
      </c>
      <c r="G24" s="258">
        <v>2241751</v>
      </c>
      <c r="H24" s="245">
        <f t="shared" si="0"/>
        <v>2.19</v>
      </c>
      <c r="I24" s="263">
        <f t="shared" si="2"/>
        <v>15</v>
      </c>
      <c r="J24" s="186">
        <f t="shared" si="1"/>
        <v>73641520</v>
      </c>
    </row>
    <row r="25" spans="2:10" ht="22.5" customHeight="1" x14ac:dyDescent="0.25">
      <c r="B25" s="320"/>
      <c r="C25" s="244" t="s">
        <v>266</v>
      </c>
      <c r="D25" s="182" t="s">
        <v>176</v>
      </c>
      <c r="E25" s="297">
        <v>4</v>
      </c>
      <c r="F25" s="219">
        <v>1</v>
      </c>
      <c r="G25" s="258">
        <v>1632195</v>
      </c>
      <c r="H25" s="245">
        <f t="shared" si="0"/>
        <v>2.19</v>
      </c>
      <c r="I25" s="263">
        <f t="shared" si="2"/>
        <v>15</v>
      </c>
      <c r="J25" s="186">
        <f t="shared" si="1"/>
        <v>214470423</v>
      </c>
    </row>
    <row r="26" spans="2:10" ht="22.5" customHeight="1" x14ac:dyDescent="0.25">
      <c r="B26" s="320"/>
      <c r="C26" s="244" t="s">
        <v>267</v>
      </c>
      <c r="D26" s="182" t="s">
        <v>176</v>
      </c>
      <c r="E26" s="182">
        <v>1</v>
      </c>
      <c r="F26" s="219">
        <v>1</v>
      </c>
      <c r="G26" s="258">
        <v>1632195</v>
      </c>
      <c r="H26" s="245">
        <f t="shared" si="0"/>
        <v>2.19</v>
      </c>
      <c r="I26" s="263">
        <f t="shared" si="2"/>
        <v>15</v>
      </c>
      <c r="J26" s="186">
        <f t="shared" si="1"/>
        <v>53617606</v>
      </c>
    </row>
    <row r="27" spans="2:10" ht="21.75" customHeight="1" x14ac:dyDescent="0.25">
      <c r="B27" s="320"/>
      <c r="C27" s="244" t="s">
        <v>268</v>
      </c>
      <c r="D27" s="182" t="s">
        <v>176</v>
      </c>
      <c r="E27" s="182">
        <v>1</v>
      </c>
      <c r="F27" s="219">
        <v>1</v>
      </c>
      <c r="G27" s="258">
        <v>1632195</v>
      </c>
      <c r="H27" s="245">
        <f t="shared" si="0"/>
        <v>2.19</v>
      </c>
      <c r="I27" s="263">
        <f t="shared" si="2"/>
        <v>15</v>
      </c>
      <c r="J27" s="186">
        <f t="shared" si="1"/>
        <v>53617606</v>
      </c>
    </row>
    <row r="28" spans="2:10" ht="24.75" customHeight="1" x14ac:dyDescent="0.25">
      <c r="B28" s="321"/>
      <c r="C28" s="244" t="s">
        <v>269</v>
      </c>
      <c r="D28" s="182" t="s">
        <v>178</v>
      </c>
      <c r="E28" s="182">
        <v>1</v>
      </c>
      <c r="F28" s="219">
        <v>0.3</v>
      </c>
      <c r="G28" s="258">
        <v>1391040</v>
      </c>
      <c r="H28" s="245">
        <f t="shared" si="0"/>
        <v>2.19</v>
      </c>
      <c r="I28" s="263">
        <f t="shared" si="2"/>
        <v>15</v>
      </c>
      <c r="J28" s="186">
        <f t="shared" si="1"/>
        <v>13708699</v>
      </c>
    </row>
    <row r="29" spans="2:10" ht="12.75" customHeight="1" x14ac:dyDescent="0.25">
      <c r="B29" s="207"/>
      <c r="D29" s="205"/>
      <c r="E29" s="205"/>
      <c r="F29" s="205"/>
      <c r="G29" s="259"/>
      <c r="H29" s="209"/>
      <c r="I29" s="209"/>
      <c r="J29" s="210"/>
    </row>
    <row r="30" spans="2:10" ht="33.75" customHeight="1" x14ac:dyDescent="0.25">
      <c r="B30" s="223" t="s">
        <v>210</v>
      </c>
      <c r="C30" s="238"/>
      <c r="D30" s="223"/>
      <c r="E30" s="223"/>
      <c r="F30" s="223"/>
      <c r="G30" s="224"/>
      <c r="H30" s="224"/>
      <c r="I30" s="224"/>
      <c r="J30" s="224">
        <f>SUM(J11:J29)</f>
        <v>2432363441</v>
      </c>
    </row>
    <row r="31" spans="2:10" ht="9" customHeight="1" x14ac:dyDescent="0.25">
      <c r="G31" s="260"/>
    </row>
    <row r="32" spans="2:10" ht="55.5" customHeight="1" x14ac:dyDescent="0.25">
      <c r="B32" s="319" t="s">
        <v>163</v>
      </c>
      <c r="C32" s="239" t="s">
        <v>157</v>
      </c>
      <c r="D32" s="194" t="s">
        <v>156</v>
      </c>
      <c r="E32" s="176" t="s">
        <v>1</v>
      </c>
      <c r="F32" s="176" t="s">
        <v>208</v>
      </c>
      <c r="G32" s="261" t="s">
        <v>192</v>
      </c>
      <c r="H32" s="194" t="s">
        <v>193</v>
      </c>
      <c r="I32" s="194" t="s">
        <v>216</v>
      </c>
      <c r="J32" s="180" t="s">
        <v>145</v>
      </c>
    </row>
    <row r="33" spans="1:10" s="174" customFormat="1" ht="23.25" customHeight="1" x14ac:dyDescent="0.25">
      <c r="A33" s="173"/>
      <c r="B33" s="320"/>
      <c r="C33" s="240" t="s">
        <v>270</v>
      </c>
      <c r="D33" s="182" t="s">
        <v>148</v>
      </c>
      <c r="E33" s="182">
        <v>1</v>
      </c>
      <c r="F33" s="219">
        <v>1</v>
      </c>
      <c r="G33" s="262">
        <v>95871</v>
      </c>
      <c r="H33" s="196">
        <f>+G33*30</f>
        <v>2876130</v>
      </c>
      <c r="I33" s="185">
        <v>15</v>
      </c>
      <c r="J33" s="220">
        <f>ROUND(+I33*H33*F33*E33,0)</f>
        <v>43141950</v>
      </c>
    </row>
    <row r="34" spans="1:10" s="174" customFormat="1" ht="42.75" hidden="1" customHeight="1" x14ac:dyDescent="0.25">
      <c r="A34" s="173"/>
      <c r="B34" s="320"/>
      <c r="C34" s="240" t="s">
        <v>150</v>
      </c>
      <c r="D34" s="182" t="s">
        <v>151</v>
      </c>
      <c r="E34" s="182">
        <v>0</v>
      </c>
      <c r="F34" s="219">
        <v>0</v>
      </c>
      <c r="G34" s="262"/>
      <c r="H34" s="196">
        <f>VLOOKUP(D34,Hoja2!B:D,3,0)</f>
        <v>4485000</v>
      </c>
      <c r="I34" s="185">
        <v>9</v>
      </c>
      <c r="J34" s="220">
        <f t="shared" ref="J34:J39" si="3">+I34*H34*F34*E34</f>
        <v>0</v>
      </c>
    </row>
    <row r="35" spans="1:10" s="174" customFormat="1" ht="47.25" customHeight="1" x14ac:dyDescent="0.25">
      <c r="A35" s="173"/>
      <c r="B35" s="320"/>
      <c r="C35" s="343" t="s">
        <v>271</v>
      </c>
      <c r="D35" s="344"/>
      <c r="E35" s="344"/>
      <c r="F35" s="344"/>
      <c r="G35" s="344"/>
      <c r="H35" s="344"/>
      <c r="I35" s="345"/>
      <c r="J35" s="220">
        <v>41363625</v>
      </c>
    </row>
    <row r="36" spans="1:10" s="174" customFormat="1" ht="35.25" hidden="1" customHeight="1" x14ac:dyDescent="0.25">
      <c r="A36" s="173"/>
      <c r="B36" s="320"/>
      <c r="C36" s="240" t="s">
        <v>67</v>
      </c>
      <c r="D36" s="182" t="s">
        <v>158</v>
      </c>
      <c r="E36" s="182">
        <v>0</v>
      </c>
      <c r="F36" s="219">
        <v>0</v>
      </c>
      <c r="G36" s="191">
        <f>VLOOKUP(D36,Hoja2!B:D,2,0)</f>
        <v>241000</v>
      </c>
      <c r="H36" s="184">
        <f>VLOOKUP(D36,Hoja2!B:D,3,0)</f>
        <v>7270000</v>
      </c>
      <c r="I36" s="185">
        <v>9</v>
      </c>
      <c r="J36" s="220">
        <f t="shared" si="3"/>
        <v>0</v>
      </c>
    </row>
    <row r="37" spans="1:10" s="174" customFormat="1" ht="35.25" hidden="1" customHeight="1" x14ac:dyDescent="0.25">
      <c r="A37" s="173"/>
      <c r="B37" s="320"/>
      <c r="C37" s="241" t="s">
        <v>160</v>
      </c>
      <c r="D37" s="182" t="s">
        <v>159</v>
      </c>
      <c r="E37" s="182">
        <v>0</v>
      </c>
      <c r="F37" s="219">
        <v>0</v>
      </c>
      <c r="G37" s="191">
        <f>VLOOKUP(D37,Hoja2!B:D,2,0)</f>
        <v>329000</v>
      </c>
      <c r="H37" s="184">
        <f>VLOOKUP(D37,Hoja2!B:D,3,0)</f>
        <v>9897000</v>
      </c>
      <c r="I37" s="185">
        <v>9</v>
      </c>
      <c r="J37" s="220">
        <f t="shared" si="3"/>
        <v>0</v>
      </c>
    </row>
    <row r="38" spans="1:10" s="174" customFormat="1" ht="35.25" hidden="1" customHeight="1" x14ac:dyDescent="0.25">
      <c r="A38" s="173"/>
      <c r="B38" s="320"/>
      <c r="C38" s="241" t="s">
        <v>161</v>
      </c>
      <c r="D38" s="182" t="s">
        <v>152</v>
      </c>
      <c r="E38" s="182">
        <v>0</v>
      </c>
      <c r="F38" s="219">
        <v>0</v>
      </c>
      <c r="G38" s="191">
        <f>VLOOKUP(D38,Hoja2!B:D,2,0)</f>
        <v>190900</v>
      </c>
      <c r="H38" s="184">
        <f>VLOOKUP(D38,Hoja2!B:D,3,0)</f>
        <v>5756000</v>
      </c>
      <c r="I38" s="185">
        <v>9</v>
      </c>
      <c r="J38" s="220">
        <f t="shared" si="3"/>
        <v>0</v>
      </c>
    </row>
    <row r="39" spans="1:10" s="174" customFormat="1" ht="35.25" hidden="1" customHeight="1" x14ac:dyDescent="0.25">
      <c r="A39" s="173"/>
      <c r="B39" s="321"/>
      <c r="C39" s="241" t="s">
        <v>162</v>
      </c>
      <c r="D39" s="182" t="s">
        <v>159</v>
      </c>
      <c r="E39" s="182">
        <v>0</v>
      </c>
      <c r="F39" s="219">
        <v>0</v>
      </c>
      <c r="G39" s="191">
        <f>VLOOKUP(D39,Hoja2!B:D,2,0)</f>
        <v>329000</v>
      </c>
      <c r="H39" s="184">
        <f>VLOOKUP(D39,Hoja2!B:D,3,0)</f>
        <v>9897000</v>
      </c>
      <c r="I39" s="185">
        <v>9</v>
      </c>
      <c r="J39" s="220">
        <f t="shared" si="3"/>
        <v>0</v>
      </c>
    </row>
    <row r="40" spans="1:10" ht="8.25" hidden="1" customHeight="1" x14ac:dyDescent="0.25"/>
    <row r="41" spans="1:10" ht="27.75" customHeight="1" x14ac:dyDescent="0.25">
      <c r="B41" s="223" t="s">
        <v>211</v>
      </c>
      <c r="C41" s="242"/>
      <c r="D41" s="225"/>
      <c r="E41" s="225"/>
      <c r="F41" s="225"/>
      <c r="G41" s="203"/>
      <c r="H41" s="203"/>
      <c r="I41" s="203"/>
      <c r="J41" s="224">
        <f>SUM(J33:J40)</f>
        <v>84505575</v>
      </c>
    </row>
    <row r="42" spans="1:10" ht="16.5" customHeight="1" x14ac:dyDescent="0.25"/>
    <row r="43" spans="1:10" s="174" customFormat="1" ht="110.25" customHeight="1" x14ac:dyDescent="0.25">
      <c r="A43" s="173"/>
      <c r="B43" s="226" t="s">
        <v>212</v>
      </c>
      <c r="C43" s="243" t="s">
        <v>183</v>
      </c>
      <c r="D43" s="322" t="s">
        <v>184</v>
      </c>
      <c r="E43" s="322"/>
      <c r="F43" s="322"/>
      <c r="G43" s="322"/>
      <c r="H43" s="228">
        <v>7.0000000000000007E-2</v>
      </c>
      <c r="I43" s="228"/>
      <c r="J43" s="224">
        <f>+ROUND(J30*H43,0)</f>
        <v>170265441</v>
      </c>
    </row>
    <row r="44" spans="1:10" s="174" customFormat="1" ht="10.5" customHeight="1" x14ac:dyDescent="0.25">
      <c r="A44" s="173"/>
      <c r="B44" s="173"/>
      <c r="C44" s="234"/>
      <c r="D44" s="173"/>
      <c r="E44" s="173"/>
      <c r="F44" s="173"/>
      <c r="G44" s="217"/>
      <c r="H44" s="217"/>
      <c r="I44" s="217"/>
      <c r="J44" s="218"/>
    </row>
    <row r="45" spans="1:10" s="174" customFormat="1" ht="28.5" hidden="1" customHeight="1" x14ac:dyDescent="0.25">
      <c r="A45" s="173"/>
      <c r="B45" s="226"/>
      <c r="C45" s="243"/>
      <c r="D45" s="307"/>
      <c r="E45" s="308"/>
      <c r="F45" s="308"/>
      <c r="G45" s="308"/>
      <c r="H45" s="309"/>
      <c r="I45" s="232"/>
      <c r="J45" s="224">
        <v>0</v>
      </c>
    </row>
    <row r="46" spans="1:10" s="174" customFormat="1" ht="12" hidden="1" customHeight="1" x14ac:dyDescent="0.25">
      <c r="A46" s="173"/>
      <c r="B46" s="269"/>
      <c r="C46" s="200"/>
      <c r="D46" s="270"/>
      <c r="E46" s="270"/>
      <c r="F46" s="270"/>
      <c r="G46" s="270"/>
      <c r="H46" s="270"/>
      <c r="I46" s="270"/>
      <c r="J46" s="268"/>
    </row>
    <row r="47" spans="1:10" s="174" customFormat="1" ht="34.5" hidden="1" customHeight="1" x14ac:dyDescent="0.25">
      <c r="A47" s="173"/>
      <c r="B47" s="267" t="s">
        <v>246</v>
      </c>
      <c r="C47" s="264"/>
      <c r="D47" s="346"/>
      <c r="E47" s="347"/>
      <c r="F47" s="347"/>
      <c r="G47" s="347"/>
      <c r="H47" s="348"/>
      <c r="I47" s="233"/>
      <c r="J47" s="265"/>
    </row>
    <row r="48" spans="1:10" s="174" customFormat="1" ht="39.75" hidden="1" customHeight="1" x14ac:dyDescent="0.25">
      <c r="A48" s="173"/>
      <c r="B48" s="267" t="s">
        <v>258</v>
      </c>
      <c r="C48" s="349"/>
      <c r="D48" s="350"/>
      <c r="E48" s="350"/>
      <c r="F48" s="350"/>
      <c r="G48" s="350"/>
      <c r="H48" s="350"/>
      <c r="I48" s="272"/>
      <c r="J48" s="265"/>
    </row>
    <row r="49" spans="1:12" s="174" customFormat="1" ht="9" hidden="1" customHeight="1" x14ac:dyDescent="0.25">
      <c r="A49" s="173"/>
      <c r="B49" s="211"/>
      <c r="C49" s="200"/>
      <c r="D49" s="200"/>
      <c r="E49" s="200"/>
      <c r="F49" s="200"/>
      <c r="G49" s="200"/>
      <c r="H49" s="212"/>
      <c r="I49" s="212"/>
      <c r="J49" s="213"/>
    </row>
    <row r="50" spans="1:12" s="174" customFormat="1" ht="28.5" customHeight="1" x14ac:dyDescent="0.25">
      <c r="A50" s="173"/>
      <c r="B50" s="215" t="s">
        <v>247</v>
      </c>
      <c r="C50" s="351"/>
      <c r="D50" s="311"/>
      <c r="E50" s="311"/>
      <c r="F50" s="311"/>
      <c r="G50" s="311"/>
      <c r="H50" s="312"/>
      <c r="I50" s="222"/>
      <c r="J50" s="214">
        <f>+J45+J43+J41+J30+J47+J48</f>
        <v>2687134457</v>
      </c>
    </row>
    <row r="51" spans="1:12" s="174" customFormat="1" ht="28.5" customHeight="1" x14ac:dyDescent="0.25">
      <c r="A51" s="173"/>
      <c r="B51" s="216" t="s">
        <v>214</v>
      </c>
      <c r="C51" s="351"/>
      <c r="D51" s="311"/>
      <c r="E51" s="311"/>
      <c r="F51" s="311"/>
      <c r="G51" s="311"/>
      <c r="H51" s="312"/>
      <c r="I51" s="266">
        <v>0.19</v>
      </c>
      <c r="J51" s="214">
        <f>ROUND(+I51*J50,0)</f>
        <v>510555547</v>
      </c>
      <c r="L51" s="254"/>
    </row>
    <row r="52" spans="1:12" s="174" customFormat="1" ht="36" customHeight="1" x14ac:dyDescent="0.25">
      <c r="A52" s="173"/>
      <c r="B52" s="229" t="s">
        <v>215</v>
      </c>
      <c r="C52" s="352"/>
      <c r="D52" s="316"/>
      <c r="E52" s="316"/>
      <c r="F52" s="316"/>
      <c r="G52" s="316"/>
      <c r="H52" s="316"/>
      <c r="I52" s="233"/>
      <c r="J52" s="230">
        <f>ROUND(J51+J50,0)</f>
        <v>3197690004</v>
      </c>
    </row>
    <row r="53" spans="1:12" s="174" customFormat="1" ht="30.75" customHeight="1" x14ac:dyDescent="0.25">
      <c r="A53" s="173"/>
      <c r="B53" s="292"/>
      <c r="C53" s="293"/>
      <c r="D53" s="294"/>
      <c r="E53" s="294"/>
      <c r="F53" s="294"/>
      <c r="G53" s="295"/>
      <c r="H53" s="197"/>
      <c r="J53" s="300"/>
    </row>
    <row r="54" spans="1:12" s="174" customFormat="1" ht="24.75" customHeight="1" x14ac:dyDescent="0.25">
      <c r="A54" s="173"/>
      <c r="B54" s="292" t="s">
        <v>259</v>
      </c>
      <c r="C54" s="293"/>
      <c r="D54" s="294"/>
      <c r="E54" s="294"/>
      <c r="F54" s="294"/>
      <c r="G54" s="295"/>
      <c r="H54" s="197"/>
      <c r="J54" s="175"/>
    </row>
    <row r="55" spans="1:12" ht="11.25" customHeight="1" x14ac:dyDescent="0.25">
      <c r="B55" s="342" t="s">
        <v>261</v>
      </c>
      <c r="C55" s="342"/>
      <c r="D55" s="342"/>
      <c r="E55" s="342"/>
      <c r="F55" s="342"/>
      <c r="G55" s="342"/>
      <c r="H55" s="342"/>
      <c r="I55" s="342"/>
      <c r="J55" s="342"/>
    </row>
    <row r="56" spans="1:12" ht="39" customHeight="1" x14ac:dyDescent="0.25">
      <c r="B56" s="342"/>
      <c r="C56" s="342"/>
      <c r="D56" s="342"/>
      <c r="E56" s="342"/>
      <c r="F56" s="342"/>
      <c r="G56" s="342"/>
      <c r="H56" s="342"/>
      <c r="I56" s="342"/>
      <c r="J56" s="342"/>
    </row>
    <row r="63" spans="1:12" x14ac:dyDescent="0.25">
      <c r="C63"/>
    </row>
    <row r="67" spans="2:2" ht="19.5" customHeight="1" x14ac:dyDescent="0.25">
      <c r="B67" s="234"/>
    </row>
    <row r="68" spans="2:2" x14ac:dyDescent="0.25">
      <c r="B68" s="255"/>
    </row>
    <row r="69" spans="2:2" ht="18" customHeight="1" x14ac:dyDescent="0.25">
      <c r="B69" s="256"/>
    </row>
    <row r="70" spans="2:2" ht="18" customHeight="1" x14ac:dyDescent="0.25">
      <c r="B70" s="256"/>
    </row>
  </sheetData>
  <sheetProtection algorithmName="SHA-512" hashValue="sRF3JUX1vZVRqoEzYztLBAUsLyleuF9qDY1YozRr1vtQ1E4DZTlgFqHkFsrhAIqjvVCk5CY3Lb1jfqO6htaqXw==" saltValue="FafMNIlfJL7Od6DnZ8ytYQ==" spinCount="100000" sheet="1" objects="1" scenarios="1"/>
  <protectedRanges>
    <protectedRange sqref="J10 J32" name="Rango1_4_1_2_1_1"/>
  </protectedRanges>
  <mergeCells count="13">
    <mergeCell ref="B5:J5"/>
    <mergeCell ref="B12:B23"/>
    <mergeCell ref="B24:B28"/>
    <mergeCell ref="B32:B39"/>
    <mergeCell ref="C52:H52"/>
    <mergeCell ref="B55:J56"/>
    <mergeCell ref="C35:I35"/>
    <mergeCell ref="D43:G43"/>
    <mergeCell ref="D45:H45"/>
    <mergeCell ref="D47:H47"/>
    <mergeCell ref="C48:H48"/>
    <mergeCell ref="C50:H50"/>
    <mergeCell ref="C51:H51"/>
  </mergeCells>
  <printOptions horizontalCentered="1"/>
  <pageMargins left="0.54" right="0.28000000000000003" top="0.33" bottom="0.3" header="0.31496062992125984" footer="0.31496062992125984"/>
  <pageSetup scale="4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0300D73-F956-44D1-97A0-30DD9E5F7F96}">
          <x14:formula1>
            <xm:f>Hoja2!$J$14:$J$20</xm:f>
          </x14:formula1>
          <xm:sqref>D33:D34 D36:D39</xm:sqref>
        </x14:dataValidation>
        <x14:dataValidation type="list" allowBlank="1" showInputMessage="1" showErrorMessage="1" xr:uid="{5A0F5281-45F1-40E1-A4C1-7591E8DD4A8C}">
          <x14:formula1>
            <xm:f>Hoja2!$G$14:$G$16</xm:f>
          </x14:formula1>
          <xm:sqref>D11</xm:sqref>
        </x14:dataValidation>
        <x14:dataValidation type="list" allowBlank="1" showInputMessage="1" showErrorMessage="1" xr:uid="{080DF4B4-9347-491B-AEA6-AA431BEC7CF1}">
          <x14:formula1>
            <xm:f>Hoja2!$H$14:$H$20</xm:f>
          </x14:formula1>
          <xm:sqref>D12:D23</xm:sqref>
        </x14:dataValidation>
        <x14:dataValidation type="list" allowBlank="1" showInputMessage="1" showErrorMessage="1" xr:uid="{0070EAAB-8445-4EC0-99B0-7CB2D74794DC}">
          <x14:formula1>
            <xm:f>Hoja2!$I$14:$I$22</xm:f>
          </x14:formula1>
          <xm:sqref>D24:D29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B98B-4238-48FA-BF9B-054D1ABE51AC}">
  <sheetPr>
    <tabColor rgb="FF00B050"/>
    <pageSetUpPr fitToPage="1"/>
  </sheetPr>
  <dimension ref="A5:M85"/>
  <sheetViews>
    <sheetView view="pageBreakPreview" topLeftCell="C62" zoomScale="70" zoomScaleNormal="85" zoomScaleSheetLayoutView="70" workbookViewId="0">
      <selection activeCell="E11" sqref="E11"/>
    </sheetView>
  </sheetViews>
  <sheetFormatPr baseColWidth="10" defaultColWidth="11.42578125" defaultRowHeight="15" x14ac:dyDescent="0.25"/>
  <cols>
    <col min="1" max="1" width="4" style="173" customWidth="1"/>
    <col min="2" max="2" width="59.5703125" style="173" customWidth="1"/>
    <col min="3" max="3" width="71.85546875" style="234" customWidth="1"/>
    <col min="4" max="4" width="16.7109375" style="173" customWidth="1"/>
    <col min="5" max="5" width="24.42578125" style="173" customWidth="1"/>
    <col min="6" max="6" width="24.85546875" style="175" customWidth="1"/>
    <col min="7" max="7" width="27.42578125" style="175" customWidth="1"/>
    <col min="8" max="8" width="25.5703125" style="175" customWidth="1"/>
    <col min="9" max="9" width="31.42578125" style="175" customWidth="1"/>
    <col min="10" max="10" width="15.5703125" style="174" bestFit="1" customWidth="1"/>
    <col min="11" max="11" width="29.42578125" style="173" bestFit="1" customWidth="1"/>
    <col min="12" max="12" width="32.5703125" style="173" customWidth="1"/>
    <col min="13" max="13" width="22" style="173" bestFit="1" customWidth="1"/>
    <col min="14" max="16384" width="11.42578125" style="173"/>
  </cols>
  <sheetData>
    <row r="5" spans="2:12" ht="15.75" x14ac:dyDescent="0.25">
      <c r="B5" s="317" t="s">
        <v>264</v>
      </c>
      <c r="C5" s="317"/>
      <c r="D5" s="317"/>
      <c r="E5" s="317"/>
      <c r="F5" s="317"/>
      <c r="G5" s="317"/>
      <c r="H5" s="317"/>
      <c r="I5" s="317"/>
    </row>
    <row r="6" spans="2:12" ht="15.75" x14ac:dyDescent="0.25">
      <c r="B6" s="251" t="s">
        <v>244</v>
      </c>
      <c r="C6" s="234" t="s">
        <v>257</v>
      </c>
    </row>
    <row r="7" spans="2:12" ht="15.75" x14ac:dyDescent="0.25">
      <c r="B7" s="251"/>
      <c r="C7" s="234" t="s">
        <v>262</v>
      </c>
    </row>
    <row r="10" spans="2:12" ht="72" customHeight="1" x14ac:dyDescent="0.25">
      <c r="B10" s="221" t="s">
        <v>142</v>
      </c>
      <c r="C10" s="236" t="s">
        <v>144</v>
      </c>
      <c r="D10" s="176" t="s">
        <v>1</v>
      </c>
      <c r="E10" s="176" t="s">
        <v>233</v>
      </c>
      <c r="F10" s="199" t="s">
        <v>191</v>
      </c>
      <c r="G10" s="179" t="s">
        <v>146</v>
      </c>
      <c r="H10" s="179" t="s">
        <v>229</v>
      </c>
      <c r="I10" s="180" t="s">
        <v>145</v>
      </c>
    </row>
    <row r="11" spans="2:12" ht="15.75" x14ac:dyDescent="0.25">
      <c r="B11" s="176" t="s">
        <v>138</v>
      </c>
      <c r="C11" s="244" t="s">
        <v>200</v>
      </c>
      <c r="D11" s="182">
        <v>1</v>
      </c>
      <c r="E11" s="219">
        <v>0.99896724574472751</v>
      </c>
      <c r="F11" s="257">
        <v>7420230</v>
      </c>
      <c r="G11" s="245">
        <v>2.19</v>
      </c>
      <c r="H11" s="263">
        <v>5</v>
      </c>
      <c r="I11" s="186">
        <f>ROUND(+H11*G11*F11*E11*D11,0)</f>
        <v>81167606</v>
      </c>
      <c r="L11" s="298"/>
    </row>
    <row r="12" spans="2:12" ht="25.5" customHeight="1" x14ac:dyDescent="0.25">
      <c r="B12" s="319" t="s">
        <v>68</v>
      </c>
      <c r="C12" s="296" t="s">
        <v>203</v>
      </c>
      <c r="D12" s="182">
        <v>1</v>
      </c>
      <c r="E12" s="219">
        <v>0.4</v>
      </c>
      <c r="F12" s="257">
        <v>6262388</v>
      </c>
      <c r="G12" s="245">
        <f t="shared" ref="G12:G28" si="0">+$G$11</f>
        <v>2.19</v>
      </c>
      <c r="H12" s="263">
        <v>5</v>
      </c>
      <c r="I12" s="186">
        <f t="shared" ref="I12:I28" si="1">ROUND(+H12*G12*F12*E12*D12,0)</f>
        <v>27429259</v>
      </c>
      <c r="L12" s="298"/>
    </row>
    <row r="13" spans="2:12" ht="25.5" customHeight="1" x14ac:dyDescent="0.25">
      <c r="B13" s="320"/>
      <c r="C13" s="244" t="s">
        <v>204</v>
      </c>
      <c r="D13" s="182">
        <v>1</v>
      </c>
      <c r="E13" s="219">
        <v>0.5</v>
      </c>
      <c r="F13" s="257">
        <v>6262388</v>
      </c>
      <c r="G13" s="245">
        <f t="shared" si="0"/>
        <v>2.19</v>
      </c>
      <c r="H13" s="263">
        <f>$H$11</f>
        <v>5</v>
      </c>
      <c r="I13" s="186">
        <f t="shared" si="1"/>
        <v>34286574</v>
      </c>
      <c r="L13" s="298"/>
    </row>
    <row r="14" spans="2:12" ht="25.5" customHeight="1" x14ac:dyDescent="0.25">
      <c r="B14" s="320"/>
      <c r="C14" s="244" t="s">
        <v>205</v>
      </c>
      <c r="D14" s="182">
        <v>1</v>
      </c>
      <c r="E14" s="219">
        <v>0.2</v>
      </c>
      <c r="F14" s="257">
        <v>6262388</v>
      </c>
      <c r="G14" s="245">
        <f t="shared" si="0"/>
        <v>2.19</v>
      </c>
      <c r="H14" s="263">
        <f t="shared" ref="H14:H28" si="2">$H$11</f>
        <v>5</v>
      </c>
      <c r="I14" s="186">
        <f t="shared" si="1"/>
        <v>13714630</v>
      </c>
      <c r="L14" s="298"/>
    </row>
    <row r="15" spans="2:12" ht="25.5" customHeight="1" x14ac:dyDescent="0.25">
      <c r="B15" s="320"/>
      <c r="C15" s="244" t="s">
        <v>206</v>
      </c>
      <c r="D15" s="182">
        <v>1</v>
      </c>
      <c r="E15" s="219">
        <v>0.2</v>
      </c>
      <c r="F15" s="257">
        <v>6262388</v>
      </c>
      <c r="G15" s="245">
        <f t="shared" si="0"/>
        <v>2.19</v>
      </c>
      <c r="H15" s="263">
        <f t="shared" si="2"/>
        <v>5</v>
      </c>
      <c r="I15" s="186">
        <f t="shared" si="1"/>
        <v>13714630</v>
      </c>
      <c r="L15" s="298"/>
    </row>
    <row r="16" spans="2:12" ht="25.5" customHeight="1" x14ac:dyDescent="0.25">
      <c r="B16" s="320"/>
      <c r="C16" s="244" t="s">
        <v>207</v>
      </c>
      <c r="D16" s="182">
        <v>1</v>
      </c>
      <c r="E16" s="219">
        <v>0.2</v>
      </c>
      <c r="F16" s="257">
        <v>6262388</v>
      </c>
      <c r="G16" s="245">
        <f t="shared" si="0"/>
        <v>2.19</v>
      </c>
      <c r="H16" s="263">
        <f t="shared" si="2"/>
        <v>5</v>
      </c>
      <c r="I16" s="186">
        <f t="shared" si="1"/>
        <v>13714630</v>
      </c>
      <c r="L16" s="298"/>
    </row>
    <row r="17" spans="2:12" ht="25.5" customHeight="1" x14ac:dyDescent="0.25">
      <c r="B17" s="320"/>
      <c r="C17" s="244" t="s">
        <v>245</v>
      </c>
      <c r="D17" s="182">
        <v>1</v>
      </c>
      <c r="E17" s="219">
        <v>0.2</v>
      </c>
      <c r="F17" s="257">
        <v>6262388</v>
      </c>
      <c r="G17" s="245">
        <f t="shared" si="0"/>
        <v>2.19</v>
      </c>
      <c r="H17" s="263">
        <v>5</v>
      </c>
      <c r="I17" s="186">
        <f t="shared" si="1"/>
        <v>13714630</v>
      </c>
      <c r="L17" s="298"/>
    </row>
    <row r="18" spans="2:12" ht="25.5" customHeight="1" x14ac:dyDescent="0.25">
      <c r="B18" s="320"/>
      <c r="C18" s="244" t="s">
        <v>217</v>
      </c>
      <c r="D18" s="182">
        <v>1</v>
      </c>
      <c r="E18" s="219">
        <v>0.2</v>
      </c>
      <c r="F18" s="257">
        <v>6262388</v>
      </c>
      <c r="G18" s="245">
        <f t="shared" si="0"/>
        <v>2.19</v>
      </c>
      <c r="H18" s="263">
        <v>5</v>
      </c>
      <c r="I18" s="186">
        <f t="shared" si="1"/>
        <v>13714630</v>
      </c>
      <c r="L18" s="298"/>
    </row>
    <row r="19" spans="2:12" ht="25.5" customHeight="1" x14ac:dyDescent="0.25">
      <c r="B19" s="320"/>
      <c r="C19" s="237" t="s">
        <v>219</v>
      </c>
      <c r="D19" s="182">
        <v>1</v>
      </c>
      <c r="E19" s="219">
        <v>0.2</v>
      </c>
      <c r="F19" s="257">
        <v>6262388</v>
      </c>
      <c r="G19" s="245">
        <f t="shared" si="0"/>
        <v>2.19</v>
      </c>
      <c r="H19" s="263">
        <f t="shared" si="2"/>
        <v>5</v>
      </c>
      <c r="I19" s="186">
        <f t="shared" si="1"/>
        <v>13714630</v>
      </c>
      <c r="L19" s="298"/>
    </row>
    <row r="20" spans="2:12" ht="25.5" customHeight="1" x14ac:dyDescent="0.25">
      <c r="B20" s="320"/>
      <c r="C20" s="237" t="s">
        <v>228</v>
      </c>
      <c r="D20" s="182">
        <v>1</v>
      </c>
      <c r="E20" s="219">
        <v>0.2</v>
      </c>
      <c r="F20" s="257">
        <v>6262388</v>
      </c>
      <c r="G20" s="245">
        <f t="shared" si="0"/>
        <v>2.19</v>
      </c>
      <c r="H20" s="263">
        <f t="shared" si="2"/>
        <v>5</v>
      </c>
      <c r="I20" s="186">
        <f t="shared" si="1"/>
        <v>13714630</v>
      </c>
      <c r="L20" s="298"/>
    </row>
    <row r="21" spans="2:12" ht="25.5" customHeight="1" x14ac:dyDescent="0.25">
      <c r="B21" s="320"/>
      <c r="C21" s="237" t="s">
        <v>221</v>
      </c>
      <c r="D21" s="182">
        <v>3</v>
      </c>
      <c r="E21" s="219">
        <v>1</v>
      </c>
      <c r="F21" s="257">
        <v>6262388</v>
      </c>
      <c r="G21" s="245">
        <f t="shared" si="0"/>
        <v>2.19</v>
      </c>
      <c r="H21" s="263">
        <f t="shared" si="2"/>
        <v>5</v>
      </c>
      <c r="I21" s="186">
        <f t="shared" si="1"/>
        <v>205719446</v>
      </c>
      <c r="L21" s="298"/>
    </row>
    <row r="22" spans="2:12" ht="27.75" customHeight="1" x14ac:dyDescent="0.25">
      <c r="B22" s="320"/>
      <c r="C22" s="237" t="s">
        <v>230</v>
      </c>
      <c r="D22" s="297">
        <v>1</v>
      </c>
      <c r="E22" s="219">
        <v>1</v>
      </c>
      <c r="F22" s="257">
        <v>6262388</v>
      </c>
      <c r="G22" s="245">
        <f t="shared" si="0"/>
        <v>2.19</v>
      </c>
      <c r="H22" s="263">
        <f t="shared" si="2"/>
        <v>5</v>
      </c>
      <c r="I22" s="186">
        <f t="shared" si="1"/>
        <v>68573149</v>
      </c>
      <c r="L22" s="298"/>
    </row>
    <row r="23" spans="2:12" ht="15" customHeight="1" x14ac:dyDescent="0.25">
      <c r="B23" s="321"/>
      <c r="C23" s="237" t="s">
        <v>227</v>
      </c>
      <c r="D23" s="182">
        <v>1</v>
      </c>
      <c r="E23" s="219">
        <v>1</v>
      </c>
      <c r="F23" s="257">
        <v>5333123</v>
      </c>
      <c r="G23" s="245">
        <f t="shared" si="0"/>
        <v>2.19</v>
      </c>
      <c r="H23" s="263">
        <f t="shared" si="2"/>
        <v>5</v>
      </c>
      <c r="I23" s="186">
        <f t="shared" si="1"/>
        <v>58397697</v>
      </c>
      <c r="L23" s="298"/>
    </row>
    <row r="24" spans="2:12" ht="15" customHeight="1" x14ac:dyDescent="0.25">
      <c r="B24" s="318" t="s">
        <v>140</v>
      </c>
      <c r="C24" s="237" t="s">
        <v>265</v>
      </c>
      <c r="D24" s="182">
        <v>1</v>
      </c>
      <c r="E24" s="219">
        <v>1</v>
      </c>
      <c r="F24" s="257">
        <v>2241751</v>
      </c>
      <c r="G24" s="245">
        <f t="shared" si="0"/>
        <v>2.19</v>
      </c>
      <c r="H24" s="263">
        <f t="shared" si="2"/>
        <v>5</v>
      </c>
      <c r="I24" s="186">
        <f t="shared" si="1"/>
        <v>24547173</v>
      </c>
      <c r="L24" s="298"/>
    </row>
    <row r="25" spans="2:12" ht="22.5" customHeight="1" x14ac:dyDescent="0.25">
      <c r="B25" s="318"/>
      <c r="C25" s="244" t="s">
        <v>266</v>
      </c>
      <c r="D25" s="182">
        <v>3</v>
      </c>
      <c r="E25" s="219">
        <v>1</v>
      </c>
      <c r="F25" s="258">
        <v>1632195</v>
      </c>
      <c r="G25" s="245">
        <f t="shared" si="0"/>
        <v>2.19</v>
      </c>
      <c r="H25" s="263">
        <f t="shared" si="2"/>
        <v>5</v>
      </c>
      <c r="I25" s="186">
        <f t="shared" si="1"/>
        <v>53617606</v>
      </c>
      <c r="L25" s="298"/>
    </row>
    <row r="26" spans="2:12" ht="22.5" customHeight="1" x14ac:dyDescent="0.25">
      <c r="B26" s="318"/>
      <c r="C26" s="244" t="s">
        <v>267</v>
      </c>
      <c r="D26" s="182">
        <v>1</v>
      </c>
      <c r="E26" s="219">
        <v>1</v>
      </c>
      <c r="F26" s="258">
        <v>1632195</v>
      </c>
      <c r="G26" s="245">
        <f t="shared" si="0"/>
        <v>2.19</v>
      </c>
      <c r="H26" s="263">
        <f t="shared" si="2"/>
        <v>5</v>
      </c>
      <c r="I26" s="186">
        <f t="shared" si="1"/>
        <v>17872535</v>
      </c>
      <c r="L26" s="298"/>
    </row>
    <row r="27" spans="2:12" ht="22.5" customHeight="1" x14ac:dyDescent="0.25">
      <c r="B27" s="318"/>
      <c r="C27" s="244" t="s">
        <v>268</v>
      </c>
      <c r="D27" s="182">
        <v>1</v>
      </c>
      <c r="E27" s="219">
        <v>1</v>
      </c>
      <c r="F27" s="258">
        <v>1632195</v>
      </c>
      <c r="G27" s="245">
        <f t="shared" si="0"/>
        <v>2.19</v>
      </c>
      <c r="H27" s="263">
        <f t="shared" si="2"/>
        <v>5</v>
      </c>
      <c r="I27" s="186">
        <f t="shared" si="1"/>
        <v>17872535</v>
      </c>
      <c r="L27" s="298"/>
    </row>
    <row r="28" spans="2:12" ht="15" customHeight="1" x14ac:dyDescent="0.25">
      <c r="B28" s="318"/>
      <c r="C28" s="244" t="s">
        <v>269</v>
      </c>
      <c r="D28" s="182">
        <v>1</v>
      </c>
      <c r="E28" s="219">
        <v>0.3</v>
      </c>
      <c r="F28" s="258">
        <v>1391040</v>
      </c>
      <c r="G28" s="245">
        <f t="shared" si="0"/>
        <v>2.19</v>
      </c>
      <c r="H28" s="263">
        <f t="shared" si="2"/>
        <v>5</v>
      </c>
      <c r="I28" s="186">
        <f t="shared" si="1"/>
        <v>4569566</v>
      </c>
      <c r="L28" s="298"/>
    </row>
    <row r="29" spans="2:12" ht="12.75" customHeight="1" x14ac:dyDescent="0.25">
      <c r="B29" s="207"/>
      <c r="D29" s="205"/>
      <c r="E29" s="205"/>
      <c r="F29" s="259"/>
      <c r="G29" s="209"/>
      <c r="H29" s="209"/>
      <c r="I29" s="210"/>
    </row>
    <row r="30" spans="2:12" ht="33.75" customHeight="1" x14ac:dyDescent="0.25">
      <c r="B30" s="223" t="s">
        <v>210</v>
      </c>
      <c r="C30" s="238"/>
      <c r="D30" s="223"/>
      <c r="E30" s="223"/>
      <c r="F30" s="224"/>
      <c r="G30" s="224"/>
      <c r="H30" s="224"/>
      <c r="I30" s="224">
        <f>SUM(I11:I29)</f>
        <v>690055556</v>
      </c>
    </row>
    <row r="31" spans="2:12" ht="9" customHeight="1" x14ac:dyDescent="0.25">
      <c r="F31" s="260"/>
    </row>
    <row r="32" spans="2:12" ht="55.5" customHeight="1" x14ac:dyDescent="0.25">
      <c r="B32" s="319" t="s">
        <v>163</v>
      </c>
      <c r="C32" s="239" t="s">
        <v>157</v>
      </c>
      <c r="D32" s="176" t="s">
        <v>1</v>
      </c>
      <c r="E32" s="176" t="s">
        <v>208</v>
      </c>
      <c r="F32" s="261" t="s">
        <v>192</v>
      </c>
      <c r="G32" s="194" t="s">
        <v>193</v>
      </c>
      <c r="H32" s="194" t="s">
        <v>216</v>
      </c>
      <c r="I32" s="180" t="s">
        <v>145</v>
      </c>
    </row>
    <row r="33" spans="1:11" s="174" customFormat="1" ht="23.25" customHeight="1" x14ac:dyDescent="0.25">
      <c r="A33" s="173"/>
      <c r="B33" s="320"/>
      <c r="C33" s="240" t="s">
        <v>270</v>
      </c>
      <c r="D33" s="182">
        <v>1</v>
      </c>
      <c r="E33" s="219">
        <v>1</v>
      </c>
      <c r="F33" s="262">
        <v>95871</v>
      </c>
      <c r="G33" s="196">
        <f>+F33*30</f>
        <v>2876130</v>
      </c>
      <c r="H33" s="185">
        <v>5</v>
      </c>
      <c r="I33" s="220">
        <f>+H33*G33*E33*D33</f>
        <v>14380650</v>
      </c>
      <c r="J33" s="299"/>
      <c r="K33" s="173"/>
    </row>
    <row r="34" spans="1:11" s="174" customFormat="1" ht="42.75" hidden="1" customHeight="1" x14ac:dyDescent="0.25">
      <c r="A34" s="173"/>
      <c r="B34" s="320"/>
      <c r="C34" s="240" t="s">
        <v>150</v>
      </c>
      <c r="D34" s="182">
        <v>0</v>
      </c>
      <c r="E34" s="219">
        <v>0</v>
      </c>
      <c r="F34" s="262"/>
      <c r="G34" s="196" t="e">
        <f>VLOOKUP(#REF!,Hoja2!B:D,3,0)</f>
        <v>#REF!</v>
      </c>
      <c r="H34" s="185">
        <v>9</v>
      </c>
      <c r="I34" s="220" t="e">
        <f t="shared" ref="I34:I39" si="3">+H34*G34*E34*D34</f>
        <v>#REF!</v>
      </c>
      <c r="K34" s="173"/>
    </row>
    <row r="35" spans="1:11" s="174" customFormat="1" ht="27" hidden="1" customHeight="1" x14ac:dyDescent="0.25">
      <c r="A35" s="173"/>
      <c r="B35" s="320"/>
      <c r="C35" s="240" t="s">
        <v>260</v>
      </c>
      <c r="D35" s="353"/>
      <c r="E35" s="353"/>
      <c r="F35" s="353"/>
      <c r="G35" s="353"/>
      <c r="H35" s="354"/>
      <c r="I35" s="220"/>
      <c r="K35" s="175">
        <v>28000000</v>
      </c>
    </row>
    <row r="36" spans="1:11" s="174" customFormat="1" ht="35.25" hidden="1" customHeight="1" x14ac:dyDescent="0.25">
      <c r="A36" s="173"/>
      <c r="B36" s="320"/>
      <c r="C36" s="240" t="s">
        <v>67</v>
      </c>
      <c r="D36" s="182">
        <v>0</v>
      </c>
      <c r="E36" s="219">
        <v>0</v>
      </c>
      <c r="F36" s="191" t="e">
        <f>VLOOKUP(#REF!,Hoja2!B:D,2,0)</f>
        <v>#REF!</v>
      </c>
      <c r="G36" s="184" t="e">
        <f>VLOOKUP(#REF!,Hoja2!B:D,3,0)</f>
        <v>#REF!</v>
      </c>
      <c r="H36" s="185">
        <v>9</v>
      </c>
      <c r="I36" s="220" t="e">
        <f t="shared" si="3"/>
        <v>#REF!</v>
      </c>
      <c r="K36" s="173"/>
    </row>
    <row r="37" spans="1:11" s="174" customFormat="1" ht="35.25" hidden="1" customHeight="1" x14ac:dyDescent="0.25">
      <c r="A37" s="173"/>
      <c r="B37" s="320"/>
      <c r="C37" s="241" t="s">
        <v>160</v>
      </c>
      <c r="D37" s="182">
        <v>0</v>
      </c>
      <c r="E37" s="219">
        <v>0</v>
      </c>
      <c r="F37" s="191" t="e">
        <f>VLOOKUP(#REF!,Hoja2!B:D,2,0)</f>
        <v>#REF!</v>
      </c>
      <c r="G37" s="184" t="e">
        <f>VLOOKUP(#REF!,Hoja2!B:D,3,0)</f>
        <v>#REF!</v>
      </c>
      <c r="H37" s="185">
        <v>9</v>
      </c>
      <c r="I37" s="220" t="e">
        <f t="shared" si="3"/>
        <v>#REF!</v>
      </c>
      <c r="K37" s="173"/>
    </row>
    <row r="38" spans="1:11" s="174" customFormat="1" ht="15" hidden="1" customHeight="1" x14ac:dyDescent="0.25">
      <c r="A38" s="173"/>
      <c r="B38" s="320"/>
      <c r="C38" s="241" t="s">
        <v>161</v>
      </c>
      <c r="D38" s="182">
        <v>0</v>
      </c>
      <c r="E38" s="219">
        <v>0</v>
      </c>
      <c r="F38" s="191" t="e">
        <f>VLOOKUP(#REF!,Hoja2!B:D,2,0)</f>
        <v>#REF!</v>
      </c>
      <c r="G38" s="184" t="e">
        <f>VLOOKUP(#REF!,Hoja2!B:D,3,0)</f>
        <v>#REF!</v>
      </c>
      <c r="H38" s="185">
        <v>9</v>
      </c>
      <c r="I38" s="220" t="e">
        <f t="shared" si="3"/>
        <v>#REF!</v>
      </c>
      <c r="K38" s="173"/>
    </row>
    <row r="39" spans="1:11" s="174" customFormat="1" ht="30" hidden="1" customHeight="1" x14ac:dyDescent="0.25">
      <c r="A39" s="173"/>
      <c r="B39" s="321"/>
      <c r="C39" s="241" t="s">
        <v>162</v>
      </c>
      <c r="D39" s="182">
        <v>0</v>
      </c>
      <c r="E39" s="219">
        <v>0</v>
      </c>
      <c r="F39" s="191" t="e">
        <f>VLOOKUP(#REF!,Hoja2!B:D,2,0)</f>
        <v>#REF!</v>
      </c>
      <c r="G39" s="184" t="e">
        <f>VLOOKUP(#REF!,Hoja2!B:D,3,0)</f>
        <v>#REF!</v>
      </c>
      <c r="H39" s="185">
        <v>9</v>
      </c>
      <c r="I39" s="220" t="e">
        <f t="shared" si="3"/>
        <v>#REF!</v>
      </c>
      <c r="K39" s="173"/>
    </row>
    <row r="40" spans="1:11" ht="8.25" customHeight="1" x14ac:dyDescent="0.25"/>
    <row r="41" spans="1:11" ht="27.75" customHeight="1" x14ac:dyDescent="0.25">
      <c r="B41" s="223" t="s">
        <v>211</v>
      </c>
      <c r="C41" s="242"/>
      <c r="D41" s="225"/>
      <c r="E41" s="225"/>
      <c r="F41" s="203"/>
      <c r="G41" s="203"/>
      <c r="H41" s="203"/>
      <c r="I41" s="224" t="e">
        <f>SUM(I33:I40)</f>
        <v>#REF!</v>
      </c>
    </row>
    <row r="42" spans="1:11" ht="16.5" customHeight="1" x14ac:dyDescent="0.25"/>
    <row r="43" spans="1:11" s="174" customFormat="1" ht="110.25" customHeight="1" x14ac:dyDescent="0.25">
      <c r="A43" s="173"/>
      <c r="B43" s="226" t="s">
        <v>212</v>
      </c>
      <c r="C43" s="243" t="s">
        <v>183</v>
      </c>
      <c r="D43" s="322"/>
      <c r="E43" s="322"/>
      <c r="F43" s="322"/>
      <c r="G43" s="228">
        <v>7.0000000000000007E-2</v>
      </c>
      <c r="H43" s="228"/>
      <c r="I43" s="224">
        <f>+ROUND(I30*G43,0)</f>
        <v>48303889</v>
      </c>
      <c r="K43" s="253"/>
    </row>
    <row r="44" spans="1:11" s="174" customFormat="1" ht="10.5" customHeight="1" x14ac:dyDescent="0.25">
      <c r="A44" s="173"/>
      <c r="B44" s="173"/>
      <c r="C44" s="234"/>
      <c r="D44" s="173"/>
      <c r="E44" s="173"/>
      <c r="F44" s="217"/>
      <c r="G44" s="217"/>
      <c r="H44" s="217"/>
      <c r="I44" s="218"/>
      <c r="K44" s="253"/>
    </row>
    <row r="45" spans="1:11" s="174" customFormat="1" ht="28.5" hidden="1" customHeight="1" x14ac:dyDescent="0.25">
      <c r="A45" s="173"/>
      <c r="B45" s="226"/>
      <c r="C45" s="243"/>
      <c r="D45" s="308"/>
      <c r="E45" s="308"/>
      <c r="F45" s="308"/>
      <c r="G45" s="309"/>
      <c r="H45" s="232"/>
      <c r="I45" s="224">
        <v>0</v>
      </c>
      <c r="K45" s="271"/>
    </row>
    <row r="46" spans="1:11" s="174" customFormat="1" ht="12" hidden="1" customHeight="1" x14ac:dyDescent="0.25">
      <c r="A46" s="173"/>
      <c r="B46" s="269"/>
      <c r="C46" s="200"/>
      <c r="D46" s="270"/>
      <c r="E46" s="270"/>
      <c r="F46" s="270"/>
      <c r="G46" s="270"/>
      <c r="H46" s="270"/>
      <c r="I46" s="268"/>
      <c r="K46" s="173"/>
    </row>
    <row r="47" spans="1:11" s="174" customFormat="1" ht="34.5" hidden="1" customHeight="1" x14ac:dyDescent="0.25">
      <c r="A47" s="173"/>
      <c r="B47" s="267" t="s">
        <v>246</v>
      </c>
      <c r="C47" s="264"/>
      <c r="D47" s="347"/>
      <c r="E47" s="347"/>
      <c r="F47" s="347"/>
      <c r="G47" s="348"/>
      <c r="H47" s="233"/>
      <c r="I47" s="265"/>
      <c r="K47" s="248"/>
    </row>
    <row r="48" spans="1:11" s="174" customFormat="1" ht="39.75" hidden="1" customHeight="1" x14ac:dyDescent="0.25">
      <c r="A48" s="173"/>
      <c r="B48" s="267" t="s">
        <v>258</v>
      </c>
      <c r="C48" s="349"/>
      <c r="D48" s="350"/>
      <c r="E48" s="350"/>
      <c r="F48" s="350"/>
      <c r="G48" s="350"/>
      <c r="H48" s="272"/>
      <c r="I48" s="265"/>
      <c r="K48" s="248"/>
    </row>
    <row r="49" spans="1:13" s="174" customFormat="1" ht="9" hidden="1" customHeight="1" x14ac:dyDescent="0.25">
      <c r="A49" s="173"/>
      <c r="B49" s="211"/>
      <c r="C49" s="200"/>
      <c r="D49" s="200"/>
      <c r="E49" s="200"/>
      <c r="F49" s="200"/>
      <c r="G49" s="212"/>
      <c r="H49" s="212"/>
      <c r="I49" s="213"/>
      <c r="K49" s="173"/>
    </row>
    <row r="50" spans="1:13" s="174" customFormat="1" ht="28.5" customHeight="1" x14ac:dyDescent="0.25">
      <c r="A50" s="173"/>
      <c r="B50" s="215" t="s">
        <v>247</v>
      </c>
      <c r="C50" s="351"/>
      <c r="D50" s="311"/>
      <c r="E50" s="311"/>
      <c r="F50" s="311"/>
      <c r="G50" s="312"/>
      <c r="H50" s="222"/>
      <c r="I50" s="214" t="e">
        <f>+I45+I43+I41+I30+I47+I48</f>
        <v>#REF!</v>
      </c>
      <c r="K50" s="173"/>
    </row>
    <row r="51" spans="1:13" s="174" customFormat="1" ht="28.5" customHeight="1" x14ac:dyDescent="0.25">
      <c r="A51" s="173"/>
      <c r="B51" s="216" t="s">
        <v>214</v>
      </c>
      <c r="C51" s="351"/>
      <c r="D51" s="311"/>
      <c r="E51" s="311"/>
      <c r="F51" s="311"/>
      <c r="G51" s="312"/>
      <c r="H51" s="266">
        <v>0.19</v>
      </c>
      <c r="I51" s="214" t="e">
        <f>+ROUND(H51*I50,0)</f>
        <v>#REF!</v>
      </c>
      <c r="K51" s="173"/>
      <c r="M51" s="254"/>
    </row>
    <row r="52" spans="1:13" s="174" customFormat="1" ht="36" customHeight="1" x14ac:dyDescent="0.25">
      <c r="A52" s="173"/>
      <c r="B52" s="229" t="s">
        <v>215</v>
      </c>
      <c r="C52" s="352"/>
      <c r="D52" s="316"/>
      <c r="E52" s="316"/>
      <c r="F52" s="316"/>
      <c r="G52" s="316"/>
      <c r="H52" s="233"/>
      <c r="I52" s="230" t="e">
        <f>ROUND(I51+I50,0)</f>
        <v>#REF!</v>
      </c>
      <c r="K52" s="250"/>
      <c r="L52" s="252"/>
    </row>
    <row r="53" spans="1:13" s="174" customFormat="1" ht="30.75" customHeight="1" x14ac:dyDescent="0.25">
      <c r="A53" s="173"/>
      <c r="B53" s="292"/>
      <c r="C53" s="293"/>
      <c r="D53" s="294"/>
      <c r="E53" s="294"/>
      <c r="F53" s="295"/>
      <c r="G53" s="197"/>
      <c r="K53" s="197"/>
      <c r="L53" s="197"/>
    </row>
    <row r="54" spans="1:13" s="174" customFormat="1" ht="24.75" customHeight="1" x14ac:dyDescent="0.25">
      <c r="A54" s="173"/>
      <c r="B54" s="292" t="s">
        <v>259</v>
      </c>
      <c r="C54" s="293"/>
      <c r="D54" s="294"/>
      <c r="E54" s="294"/>
      <c r="F54" s="295"/>
      <c r="G54" s="197"/>
      <c r="I54" s="175"/>
      <c r="K54" s="197"/>
      <c r="L54" s="197"/>
    </row>
    <row r="55" spans="1:13" ht="11.25" customHeight="1" x14ac:dyDescent="0.25">
      <c r="B55" s="342" t="s">
        <v>261</v>
      </c>
      <c r="C55" s="342"/>
      <c r="D55" s="342"/>
      <c r="E55" s="342"/>
      <c r="F55" s="342"/>
      <c r="G55" s="342"/>
      <c r="H55" s="342"/>
      <c r="I55" s="342"/>
      <c r="K55" s="175"/>
      <c r="L55" s="175"/>
    </row>
    <row r="56" spans="1:13" ht="39" customHeight="1" x14ac:dyDescent="0.25">
      <c r="B56" s="342"/>
      <c r="C56" s="342"/>
      <c r="D56" s="342"/>
      <c r="E56" s="342"/>
      <c r="F56" s="342"/>
      <c r="G56" s="342"/>
      <c r="H56" s="342"/>
      <c r="I56" s="342"/>
      <c r="K56" s="175"/>
      <c r="L56" s="175"/>
    </row>
    <row r="57" spans="1:13" x14ac:dyDescent="0.25">
      <c r="K57" s="175"/>
      <c r="L57" s="175"/>
    </row>
    <row r="58" spans="1:13" x14ac:dyDescent="0.25">
      <c r="K58" s="175"/>
      <c r="L58" s="175"/>
    </row>
    <row r="59" spans="1:13" x14ac:dyDescent="0.25">
      <c r="K59" s="175"/>
      <c r="L59" s="175"/>
    </row>
    <row r="60" spans="1:13" x14ac:dyDescent="0.25">
      <c r="K60" s="175"/>
      <c r="L60" s="175"/>
    </row>
    <row r="61" spans="1:13" x14ac:dyDescent="0.25">
      <c r="K61" s="175"/>
      <c r="L61" s="175"/>
    </row>
    <row r="62" spans="1:13" x14ac:dyDescent="0.25">
      <c r="K62" s="175"/>
      <c r="L62" s="175"/>
    </row>
    <row r="63" spans="1:13" x14ac:dyDescent="0.25">
      <c r="C63"/>
      <c r="K63" s="175"/>
      <c r="L63" s="175"/>
    </row>
    <row r="64" spans="1:13" x14ac:dyDescent="0.25">
      <c r="K64" s="175"/>
      <c r="L64" s="175"/>
    </row>
    <row r="65" spans="2:12" x14ac:dyDescent="0.25">
      <c r="K65" s="175"/>
      <c r="L65" s="175"/>
    </row>
    <row r="66" spans="2:12" x14ac:dyDescent="0.25">
      <c r="K66" s="175"/>
      <c r="L66" s="175"/>
    </row>
    <row r="67" spans="2:12" ht="19.5" customHeight="1" x14ac:dyDescent="0.25">
      <c r="B67" s="234"/>
    </row>
    <row r="68" spans="2:12" x14ac:dyDescent="0.25">
      <c r="B68" s="255"/>
    </row>
    <row r="69" spans="2:12" ht="18" customHeight="1" x14ac:dyDescent="0.25">
      <c r="B69" s="256"/>
    </row>
    <row r="70" spans="2:12" ht="18" customHeight="1" x14ac:dyDescent="0.25">
      <c r="B70" s="256"/>
    </row>
    <row r="71" spans="2:12" ht="18" customHeight="1" x14ac:dyDescent="0.25">
      <c r="B71" s="256"/>
    </row>
    <row r="72" spans="2:12" ht="18" x14ac:dyDescent="0.25">
      <c r="B72" s="202"/>
    </row>
    <row r="74" spans="2:12" ht="15.75" x14ac:dyDescent="0.25">
      <c r="B74" s="231"/>
    </row>
    <row r="75" spans="2:12" ht="15.75" x14ac:dyDescent="0.25">
      <c r="B75" s="231"/>
    </row>
    <row r="76" spans="2:12" ht="15.75" x14ac:dyDescent="0.25">
      <c r="B76" s="231"/>
    </row>
    <row r="77" spans="2:12" ht="15.75" x14ac:dyDescent="0.25">
      <c r="B77" s="231"/>
    </row>
    <row r="85" spans="1:13" s="174" customFormat="1" x14ac:dyDescent="0.25">
      <c r="A85" s="173"/>
      <c r="B85" s="173"/>
      <c r="C85" s="234"/>
      <c r="D85" s="173"/>
      <c r="E85" s="173"/>
      <c r="F85" s="175"/>
      <c r="G85" s="175"/>
      <c r="H85" s="175"/>
      <c r="I85" s="291"/>
      <c r="K85" s="173"/>
      <c r="L85" s="173"/>
      <c r="M85" s="173"/>
    </row>
  </sheetData>
  <sheetProtection algorithmName="SHA-512" hashValue="Vom6fAzUCdh6VZaSjd+flqHN4izZ3xJ47kpwSxpE5jOQhD1o3VJyImH/esVT6a99VJyRsSljwDQxGZeHWx5hDQ==" saltValue="cV42V9kueOvRYd2TY+IQ+g==" spinCount="100000" sheet="1" objects="1" scenarios="1"/>
  <protectedRanges>
    <protectedRange sqref="I10 I32" name="Rango1_4_1_2_1_1"/>
  </protectedRanges>
  <mergeCells count="13">
    <mergeCell ref="C52:G52"/>
    <mergeCell ref="B55:I56"/>
    <mergeCell ref="D43:F43"/>
    <mergeCell ref="D45:G45"/>
    <mergeCell ref="D47:G47"/>
    <mergeCell ref="C48:G48"/>
    <mergeCell ref="C50:G50"/>
    <mergeCell ref="C51:G51"/>
    <mergeCell ref="B5:I5"/>
    <mergeCell ref="B32:B39"/>
    <mergeCell ref="D35:H35"/>
    <mergeCell ref="B12:B23"/>
    <mergeCell ref="B24:B28"/>
  </mergeCells>
  <printOptions horizontalCentered="1"/>
  <pageMargins left="0.54" right="0.28000000000000003" top="0.33" bottom="0.3" header="0.31496062992125984" footer="0.31496062992125984"/>
  <pageSetup scale="44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J32"/>
  <sheetViews>
    <sheetView topLeftCell="C1" workbookViewId="0">
      <selection activeCell="H13" sqref="H13"/>
    </sheetView>
  </sheetViews>
  <sheetFormatPr baseColWidth="10" defaultRowHeight="15" x14ac:dyDescent="0.25"/>
  <cols>
    <col min="2" max="4" width="24.42578125" customWidth="1"/>
    <col min="7" max="7" width="39.42578125" customWidth="1"/>
    <col min="8" max="8" width="66.42578125" customWidth="1"/>
  </cols>
  <sheetData>
    <row r="3" spans="2:10" ht="47.25" x14ac:dyDescent="0.25">
      <c r="B3" s="176" t="s">
        <v>143</v>
      </c>
      <c r="C3" s="199"/>
      <c r="D3" s="178" t="s">
        <v>191</v>
      </c>
      <c r="G3" s="205"/>
      <c r="H3" s="206"/>
    </row>
    <row r="4" spans="2:10" x14ac:dyDescent="0.25">
      <c r="B4" s="182" t="s">
        <v>164</v>
      </c>
      <c r="C4" s="196"/>
      <c r="D4" s="184">
        <v>6946000</v>
      </c>
    </row>
    <row r="5" spans="2:10" x14ac:dyDescent="0.25">
      <c r="B5" s="182" t="s">
        <v>165</v>
      </c>
      <c r="C5" s="196"/>
      <c r="D5" s="184">
        <v>5862000</v>
      </c>
    </row>
    <row r="6" spans="2:10" x14ac:dyDescent="0.25">
      <c r="B6" s="182" t="s">
        <v>166</v>
      </c>
      <c r="C6" s="196"/>
      <c r="D6" s="184">
        <v>4992000</v>
      </c>
    </row>
    <row r="7" spans="2:10" x14ac:dyDescent="0.25">
      <c r="B7" s="182" t="s">
        <v>164</v>
      </c>
      <c r="C7" s="196"/>
      <c r="D7" s="184">
        <v>6946000</v>
      </c>
      <c r="G7" s="205"/>
      <c r="H7" s="206"/>
    </row>
    <row r="8" spans="2:10" x14ac:dyDescent="0.25">
      <c r="B8" s="182" t="s">
        <v>165</v>
      </c>
      <c r="C8" s="196"/>
      <c r="D8" s="184">
        <v>5862000</v>
      </c>
    </row>
    <row r="9" spans="2:10" x14ac:dyDescent="0.25">
      <c r="B9" s="182" t="s">
        <v>166</v>
      </c>
      <c r="C9" s="196"/>
      <c r="D9" s="184">
        <v>4992000</v>
      </c>
    </row>
    <row r="10" spans="2:10" x14ac:dyDescent="0.25">
      <c r="B10" s="182" t="s">
        <v>167</v>
      </c>
      <c r="C10" s="196"/>
      <c r="D10" s="184">
        <v>4501000</v>
      </c>
    </row>
    <row r="11" spans="2:10" x14ac:dyDescent="0.25">
      <c r="B11" s="182" t="s">
        <v>168</v>
      </c>
      <c r="C11" s="196"/>
      <c r="D11" s="184">
        <v>4014000</v>
      </c>
    </row>
    <row r="12" spans="2:10" x14ac:dyDescent="0.25">
      <c r="B12" s="182" t="s">
        <v>169</v>
      </c>
      <c r="C12" s="196"/>
      <c r="D12" s="184">
        <v>3035000</v>
      </c>
    </row>
    <row r="13" spans="2:10" x14ac:dyDescent="0.25">
      <c r="B13" s="182" t="s">
        <v>137</v>
      </c>
      <c r="C13" s="196"/>
      <c r="D13" s="184">
        <v>2864000</v>
      </c>
    </row>
    <row r="14" spans="2:10" x14ac:dyDescent="0.25">
      <c r="B14" s="173"/>
      <c r="C14" s="197"/>
      <c r="D14" s="204"/>
      <c r="G14" s="182" t="s">
        <v>164</v>
      </c>
      <c r="H14" s="182" t="s">
        <v>164</v>
      </c>
      <c r="I14" s="182" t="s">
        <v>170</v>
      </c>
      <c r="J14" s="182" t="s">
        <v>148</v>
      </c>
    </row>
    <row r="15" spans="2:10" x14ac:dyDescent="0.25">
      <c r="B15" s="182" t="s">
        <v>170</v>
      </c>
      <c r="C15" s="198"/>
      <c r="D15" s="188">
        <v>2165000</v>
      </c>
      <c r="G15" s="182" t="s">
        <v>165</v>
      </c>
      <c r="H15" s="182" t="s">
        <v>165</v>
      </c>
      <c r="I15" s="182" t="s">
        <v>171</v>
      </c>
      <c r="J15" s="182" t="s">
        <v>149</v>
      </c>
    </row>
    <row r="16" spans="2:10" x14ac:dyDescent="0.25">
      <c r="B16" s="182" t="s">
        <v>171</v>
      </c>
      <c r="C16" s="198"/>
      <c r="D16" s="188">
        <v>2078000</v>
      </c>
      <c r="G16" s="182" t="s">
        <v>166</v>
      </c>
      <c r="H16" s="182" t="s">
        <v>166</v>
      </c>
      <c r="I16" s="182" t="s">
        <v>172</v>
      </c>
      <c r="J16" s="182" t="s">
        <v>151</v>
      </c>
    </row>
    <row r="17" spans="2:10" x14ac:dyDescent="0.25">
      <c r="B17" s="182" t="s">
        <v>172</v>
      </c>
      <c r="C17" s="198"/>
      <c r="D17" s="188">
        <v>1916000</v>
      </c>
      <c r="H17" s="182" t="s">
        <v>167</v>
      </c>
      <c r="I17" s="182" t="s">
        <v>173</v>
      </c>
      <c r="J17" s="182" t="s">
        <v>152</v>
      </c>
    </row>
    <row r="18" spans="2:10" x14ac:dyDescent="0.25">
      <c r="B18" s="182" t="s">
        <v>173</v>
      </c>
      <c r="C18" s="198"/>
      <c r="D18" s="188">
        <v>1827000</v>
      </c>
      <c r="H18" s="182" t="s">
        <v>168</v>
      </c>
      <c r="I18" s="182" t="s">
        <v>174</v>
      </c>
      <c r="J18" s="182" t="s">
        <v>153</v>
      </c>
    </row>
    <row r="19" spans="2:10" x14ac:dyDescent="0.25">
      <c r="B19" s="182" t="s">
        <v>174</v>
      </c>
      <c r="C19" s="198"/>
      <c r="D19" s="188">
        <v>1777000</v>
      </c>
      <c r="H19" s="182" t="s">
        <v>169</v>
      </c>
      <c r="I19" s="182" t="s">
        <v>175</v>
      </c>
      <c r="J19" s="182" t="s">
        <v>158</v>
      </c>
    </row>
    <row r="20" spans="2:10" x14ac:dyDescent="0.25">
      <c r="B20" s="182" t="s">
        <v>175</v>
      </c>
      <c r="C20" s="198"/>
      <c r="D20" s="188">
        <v>1576000</v>
      </c>
      <c r="H20" s="182" t="s">
        <v>137</v>
      </c>
      <c r="I20" s="182" t="s">
        <v>176</v>
      </c>
      <c r="J20" s="182" t="s">
        <v>159</v>
      </c>
    </row>
    <row r="21" spans="2:10" x14ac:dyDescent="0.25">
      <c r="B21" s="182" t="s">
        <v>176</v>
      </c>
      <c r="C21" s="198"/>
      <c r="D21" s="188">
        <v>1548000</v>
      </c>
      <c r="I21" s="182" t="s">
        <v>177</v>
      </c>
    </row>
    <row r="22" spans="2:10" x14ac:dyDescent="0.25">
      <c r="B22" s="182" t="s">
        <v>177</v>
      </c>
      <c r="C22" s="198"/>
      <c r="D22" s="188">
        <v>1419000</v>
      </c>
      <c r="I22" s="182" t="s">
        <v>178</v>
      </c>
    </row>
    <row r="23" spans="2:10" x14ac:dyDescent="0.25">
      <c r="B23" s="182" t="s">
        <v>178</v>
      </c>
      <c r="C23" s="198"/>
      <c r="D23" s="188">
        <v>1343000</v>
      </c>
    </row>
    <row r="24" spans="2:10" x14ac:dyDescent="0.25">
      <c r="B24" s="173"/>
      <c r="C24" s="175"/>
      <c r="D24" s="197"/>
    </row>
    <row r="25" spans="2:10" ht="31.5" x14ac:dyDescent="0.25">
      <c r="B25" s="194" t="s">
        <v>156</v>
      </c>
      <c r="C25" s="194" t="s">
        <v>154</v>
      </c>
      <c r="D25" s="194" t="s">
        <v>193</v>
      </c>
    </row>
    <row r="26" spans="2:10" x14ac:dyDescent="0.25">
      <c r="B26" s="182" t="s">
        <v>148</v>
      </c>
      <c r="C26" s="191">
        <v>94900</v>
      </c>
      <c r="D26" s="191">
        <v>2876000</v>
      </c>
    </row>
    <row r="27" spans="2:10" x14ac:dyDescent="0.25">
      <c r="B27" s="182" t="s">
        <v>149</v>
      </c>
      <c r="C27" s="191">
        <v>205000</v>
      </c>
      <c r="D27" s="191">
        <v>6179000</v>
      </c>
    </row>
    <row r="28" spans="2:10" x14ac:dyDescent="0.25">
      <c r="B28" s="182" t="s">
        <v>151</v>
      </c>
      <c r="C28" s="191">
        <v>148533</v>
      </c>
      <c r="D28" s="191">
        <v>4485000</v>
      </c>
    </row>
    <row r="29" spans="2:10" x14ac:dyDescent="0.25">
      <c r="B29" s="182" t="s">
        <v>152</v>
      </c>
      <c r="C29" s="191">
        <v>190900</v>
      </c>
      <c r="D29" s="191">
        <v>5756000</v>
      </c>
    </row>
    <row r="30" spans="2:10" x14ac:dyDescent="0.25">
      <c r="B30" s="182" t="s">
        <v>153</v>
      </c>
      <c r="C30" s="191">
        <v>169000</v>
      </c>
      <c r="D30" s="191">
        <v>5092000</v>
      </c>
    </row>
    <row r="31" spans="2:10" x14ac:dyDescent="0.25">
      <c r="B31" s="182" t="s">
        <v>158</v>
      </c>
      <c r="C31" s="191">
        <v>241000</v>
      </c>
      <c r="D31" s="191">
        <v>7270000</v>
      </c>
    </row>
    <row r="32" spans="2:10" x14ac:dyDescent="0.25">
      <c r="B32" s="182" t="s">
        <v>159</v>
      </c>
      <c r="C32" s="191">
        <v>329000</v>
      </c>
      <c r="D32" s="191">
        <v>9897000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5:K57"/>
  <sheetViews>
    <sheetView view="pageBreakPreview" topLeftCell="A10" zoomScale="60" zoomScaleNormal="85" workbookViewId="0">
      <selection activeCell="H17" sqref="H17"/>
    </sheetView>
  </sheetViews>
  <sheetFormatPr baseColWidth="10" defaultColWidth="11.42578125" defaultRowHeight="15" x14ac:dyDescent="0.25"/>
  <cols>
    <col min="1" max="1" width="4" style="173" customWidth="1"/>
    <col min="2" max="2" width="27.5703125" style="173" customWidth="1"/>
    <col min="3" max="3" width="69.42578125" style="173" customWidth="1"/>
    <col min="4" max="4" width="51.5703125" style="173" customWidth="1"/>
    <col min="5" max="5" width="17.5703125" style="173" bestFit="1" customWidth="1"/>
    <col min="6" max="6" width="22.140625" style="175" customWidth="1"/>
    <col min="7" max="7" width="35.5703125" style="175" customWidth="1"/>
    <col min="8" max="8" width="32.42578125" style="175" customWidth="1"/>
    <col min="9" max="9" width="34.42578125" style="175" customWidth="1"/>
    <col min="10" max="10" width="15.5703125" style="173" bestFit="1" customWidth="1"/>
    <col min="11" max="11" width="11.42578125" style="174"/>
    <col min="12" max="12" width="15.5703125" style="173" bestFit="1" customWidth="1"/>
    <col min="13" max="16384" width="11.42578125" style="173"/>
  </cols>
  <sheetData>
    <row r="5" spans="2:9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</row>
    <row r="7" spans="2:9" ht="33" customHeight="1" x14ac:dyDescent="0.25">
      <c r="B7" s="173" t="s">
        <v>190</v>
      </c>
    </row>
    <row r="10" spans="2:9" ht="72" customHeight="1" x14ac:dyDescent="0.25">
      <c r="B10" s="318" t="s">
        <v>142</v>
      </c>
      <c r="C10" s="318"/>
      <c r="D10" s="176" t="s">
        <v>144</v>
      </c>
      <c r="E10" s="176" t="s">
        <v>143</v>
      </c>
      <c r="F10" s="177" t="s">
        <v>185</v>
      </c>
      <c r="G10" s="178" t="s">
        <v>191</v>
      </c>
      <c r="H10" s="179" t="s">
        <v>146</v>
      </c>
      <c r="I10" s="180" t="s">
        <v>145</v>
      </c>
    </row>
    <row r="11" spans="2:9" ht="50.25" customHeight="1" x14ac:dyDescent="0.25">
      <c r="B11" s="318" t="s">
        <v>138</v>
      </c>
      <c r="C11" s="355" t="s">
        <v>199</v>
      </c>
      <c r="D11" s="181" t="s">
        <v>133</v>
      </c>
      <c r="E11" s="182" t="s">
        <v>164</v>
      </c>
      <c r="F11" s="183">
        <v>6947000</v>
      </c>
      <c r="G11" s="184">
        <v>6946000</v>
      </c>
      <c r="H11" s="185">
        <v>2.19</v>
      </c>
      <c r="I11" s="186">
        <f t="shared" ref="I11:I20" si="0">+F11*H11</f>
        <v>15213930</v>
      </c>
    </row>
    <row r="12" spans="2:9" ht="36.75" customHeight="1" x14ac:dyDescent="0.25">
      <c r="B12" s="318"/>
      <c r="C12" s="355"/>
      <c r="D12" s="181" t="s">
        <v>133</v>
      </c>
      <c r="E12" s="182" t="s">
        <v>165</v>
      </c>
      <c r="F12" s="183">
        <v>5863000</v>
      </c>
      <c r="G12" s="184">
        <v>5862000</v>
      </c>
      <c r="H12" s="185">
        <f>+$H$11</f>
        <v>2.19</v>
      </c>
      <c r="I12" s="186">
        <f t="shared" si="0"/>
        <v>12839970</v>
      </c>
    </row>
    <row r="13" spans="2:9" ht="41.25" customHeight="1" x14ac:dyDescent="0.25">
      <c r="B13" s="318"/>
      <c r="C13" s="355"/>
      <c r="D13" s="181" t="s">
        <v>133</v>
      </c>
      <c r="E13" s="182" t="s">
        <v>166</v>
      </c>
      <c r="F13" s="183">
        <v>4993000</v>
      </c>
      <c r="G13" s="184">
        <v>4992000</v>
      </c>
      <c r="H13" s="185">
        <f t="shared" ref="H13:H30" si="1">+$H$11</f>
        <v>2.19</v>
      </c>
      <c r="I13" s="186">
        <f t="shared" si="0"/>
        <v>10934670</v>
      </c>
    </row>
    <row r="14" spans="2:9" ht="62.25" customHeight="1" x14ac:dyDescent="0.25">
      <c r="B14" s="318" t="s">
        <v>68</v>
      </c>
      <c r="C14" s="355" t="s">
        <v>139</v>
      </c>
      <c r="D14" s="181" t="s">
        <v>133</v>
      </c>
      <c r="E14" s="182" t="s">
        <v>164</v>
      </c>
      <c r="F14" s="183">
        <v>6947000</v>
      </c>
      <c r="G14" s="184">
        <v>6946000</v>
      </c>
      <c r="H14" s="185">
        <f t="shared" si="1"/>
        <v>2.19</v>
      </c>
      <c r="I14" s="186">
        <f t="shared" si="0"/>
        <v>15213930</v>
      </c>
    </row>
    <row r="15" spans="2:9" ht="41.25" customHeight="1" x14ac:dyDescent="0.25">
      <c r="B15" s="318"/>
      <c r="C15" s="355"/>
      <c r="D15" s="181" t="s">
        <v>133</v>
      </c>
      <c r="E15" s="182" t="s">
        <v>165</v>
      </c>
      <c r="F15" s="183">
        <v>5863000</v>
      </c>
      <c r="G15" s="184">
        <v>5862000</v>
      </c>
      <c r="H15" s="185">
        <f t="shared" si="1"/>
        <v>2.19</v>
      </c>
      <c r="I15" s="186">
        <f t="shared" si="0"/>
        <v>12839970</v>
      </c>
    </row>
    <row r="16" spans="2:9" ht="41.25" customHeight="1" x14ac:dyDescent="0.25">
      <c r="B16" s="318"/>
      <c r="C16" s="355"/>
      <c r="D16" s="181" t="s">
        <v>133</v>
      </c>
      <c r="E16" s="182" t="s">
        <v>166</v>
      </c>
      <c r="F16" s="183">
        <v>4993000</v>
      </c>
      <c r="G16" s="184">
        <v>4992000</v>
      </c>
      <c r="H16" s="185">
        <f t="shared" si="1"/>
        <v>2.19</v>
      </c>
      <c r="I16" s="186">
        <f t="shared" si="0"/>
        <v>10934670</v>
      </c>
    </row>
    <row r="17" spans="2:9" ht="41.25" customHeight="1" x14ac:dyDescent="0.25">
      <c r="B17" s="318"/>
      <c r="C17" s="355"/>
      <c r="D17" s="181" t="s">
        <v>133</v>
      </c>
      <c r="E17" s="182" t="s">
        <v>167</v>
      </c>
      <c r="F17" s="183">
        <v>4502000</v>
      </c>
      <c r="G17" s="184">
        <v>4501000</v>
      </c>
      <c r="H17" s="185">
        <f t="shared" si="1"/>
        <v>2.19</v>
      </c>
      <c r="I17" s="186">
        <f t="shared" si="0"/>
        <v>9859380</v>
      </c>
    </row>
    <row r="18" spans="2:9" ht="46.5" customHeight="1" x14ac:dyDescent="0.25">
      <c r="B18" s="318"/>
      <c r="C18" s="355"/>
      <c r="D18" s="181" t="s">
        <v>133</v>
      </c>
      <c r="E18" s="182" t="s">
        <v>168</v>
      </c>
      <c r="F18" s="183">
        <v>4015000</v>
      </c>
      <c r="G18" s="184">
        <v>4014000</v>
      </c>
      <c r="H18" s="185">
        <f t="shared" si="1"/>
        <v>2.19</v>
      </c>
      <c r="I18" s="186">
        <f t="shared" si="0"/>
        <v>8792850</v>
      </c>
    </row>
    <row r="19" spans="2:9" ht="41.25" customHeight="1" x14ac:dyDescent="0.25">
      <c r="B19" s="318"/>
      <c r="C19" s="355"/>
      <c r="D19" s="181" t="s">
        <v>133</v>
      </c>
      <c r="E19" s="182" t="s">
        <v>169</v>
      </c>
      <c r="F19" s="183">
        <v>3036000</v>
      </c>
      <c r="G19" s="184">
        <v>3035000</v>
      </c>
      <c r="H19" s="185">
        <f t="shared" si="1"/>
        <v>2.19</v>
      </c>
      <c r="I19" s="186">
        <f t="shared" si="0"/>
        <v>6648840</v>
      </c>
    </row>
    <row r="20" spans="2:9" ht="57.75" customHeight="1" x14ac:dyDescent="0.25">
      <c r="B20" s="318"/>
      <c r="C20" s="355"/>
      <c r="D20" s="181" t="s">
        <v>133</v>
      </c>
      <c r="E20" s="182" t="s">
        <v>137</v>
      </c>
      <c r="F20" s="183">
        <v>2865000</v>
      </c>
      <c r="G20" s="184">
        <v>2864000</v>
      </c>
      <c r="H20" s="185">
        <f t="shared" si="1"/>
        <v>2.19</v>
      </c>
      <c r="I20" s="186">
        <f t="shared" si="0"/>
        <v>6274350</v>
      </c>
    </row>
    <row r="22" spans="2:9" ht="41.1" customHeight="1" x14ac:dyDescent="0.25">
      <c r="B22" s="319" t="s">
        <v>140</v>
      </c>
      <c r="C22" s="356" t="s">
        <v>141</v>
      </c>
      <c r="D22" s="181" t="s">
        <v>136</v>
      </c>
      <c r="E22" s="182" t="s">
        <v>170</v>
      </c>
      <c r="F22" s="187">
        <v>2166000</v>
      </c>
      <c r="G22" s="188">
        <v>2165000</v>
      </c>
      <c r="H22" s="185">
        <f t="shared" si="1"/>
        <v>2.19</v>
      </c>
      <c r="I22" s="186">
        <f t="shared" ref="I22:I30" si="2">+F22*H22</f>
        <v>4743540</v>
      </c>
    </row>
    <row r="23" spans="2:9" ht="41.1" customHeight="1" x14ac:dyDescent="0.25">
      <c r="B23" s="320"/>
      <c r="C23" s="357"/>
      <c r="D23" s="181" t="s">
        <v>72</v>
      </c>
      <c r="E23" s="182" t="s">
        <v>171</v>
      </c>
      <c r="F23" s="187">
        <v>2079000</v>
      </c>
      <c r="G23" s="188">
        <v>2078000</v>
      </c>
      <c r="H23" s="185">
        <f t="shared" si="1"/>
        <v>2.19</v>
      </c>
      <c r="I23" s="186">
        <f t="shared" si="2"/>
        <v>4553010</v>
      </c>
    </row>
    <row r="24" spans="2:9" ht="41.1" customHeight="1" x14ac:dyDescent="0.25">
      <c r="B24" s="320"/>
      <c r="C24" s="357"/>
      <c r="D24" s="181" t="s">
        <v>135</v>
      </c>
      <c r="E24" s="182" t="s">
        <v>172</v>
      </c>
      <c r="F24" s="187">
        <v>1917000</v>
      </c>
      <c r="G24" s="188">
        <v>1916000</v>
      </c>
      <c r="H24" s="185">
        <f t="shared" si="1"/>
        <v>2.19</v>
      </c>
      <c r="I24" s="186">
        <f t="shared" si="2"/>
        <v>4198230</v>
      </c>
    </row>
    <row r="25" spans="2:9" ht="41.1" customHeight="1" x14ac:dyDescent="0.25">
      <c r="B25" s="320"/>
      <c r="C25" s="357"/>
      <c r="D25" s="181" t="s">
        <v>73</v>
      </c>
      <c r="E25" s="182" t="s">
        <v>173</v>
      </c>
      <c r="F25" s="187">
        <v>1828000</v>
      </c>
      <c r="G25" s="188">
        <v>1827000</v>
      </c>
      <c r="H25" s="185">
        <f t="shared" si="1"/>
        <v>2.19</v>
      </c>
      <c r="I25" s="186">
        <f t="shared" si="2"/>
        <v>4003320</v>
      </c>
    </row>
    <row r="26" spans="2:9" ht="41.1" customHeight="1" x14ac:dyDescent="0.25">
      <c r="B26" s="320"/>
      <c r="C26" s="357"/>
      <c r="D26" s="181" t="s">
        <v>75</v>
      </c>
      <c r="E26" s="182" t="s">
        <v>174</v>
      </c>
      <c r="F26" s="187">
        <v>1778000</v>
      </c>
      <c r="G26" s="188">
        <v>1777000</v>
      </c>
      <c r="H26" s="185">
        <f t="shared" si="1"/>
        <v>2.19</v>
      </c>
      <c r="I26" s="186">
        <f t="shared" si="2"/>
        <v>3893820</v>
      </c>
    </row>
    <row r="27" spans="2:9" ht="41.1" customHeight="1" x14ac:dyDescent="0.25">
      <c r="B27" s="320"/>
      <c r="C27" s="357"/>
      <c r="D27" s="181" t="s">
        <v>134</v>
      </c>
      <c r="E27" s="182" t="s">
        <v>175</v>
      </c>
      <c r="F27" s="187">
        <v>1577000</v>
      </c>
      <c r="G27" s="188">
        <v>1576000</v>
      </c>
      <c r="H27" s="185">
        <f t="shared" si="1"/>
        <v>2.19</v>
      </c>
      <c r="I27" s="186">
        <f t="shared" si="2"/>
        <v>3453630</v>
      </c>
    </row>
    <row r="28" spans="2:9" ht="41.1" customHeight="1" x14ac:dyDescent="0.25">
      <c r="B28" s="320"/>
      <c r="C28" s="357"/>
      <c r="D28" s="181" t="s">
        <v>74</v>
      </c>
      <c r="E28" s="182" t="s">
        <v>176</v>
      </c>
      <c r="F28" s="187">
        <v>1549000</v>
      </c>
      <c r="G28" s="188">
        <v>1548000</v>
      </c>
      <c r="H28" s="185">
        <f t="shared" si="1"/>
        <v>2.19</v>
      </c>
      <c r="I28" s="186">
        <f t="shared" si="2"/>
        <v>3392310</v>
      </c>
    </row>
    <row r="29" spans="2:9" ht="41.1" customHeight="1" x14ac:dyDescent="0.25">
      <c r="B29" s="320"/>
      <c r="C29" s="357"/>
      <c r="D29" s="181" t="s">
        <v>77</v>
      </c>
      <c r="E29" s="182" t="s">
        <v>177</v>
      </c>
      <c r="F29" s="187">
        <v>1420000</v>
      </c>
      <c r="G29" s="188">
        <v>1419000</v>
      </c>
      <c r="H29" s="185">
        <f t="shared" si="1"/>
        <v>2.19</v>
      </c>
      <c r="I29" s="186">
        <f t="shared" si="2"/>
        <v>3109800</v>
      </c>
    </row>
    <row r="30" spans="2:9" ht="41.1" customHeight="1" x14ac:dyDescent="0.25">
      <c r="B30" s="321"/>
      <c r="C30" s="358"/>
      <c r="D30" s="181" t="s">
        <v>179</v>
      </c>
      <c r="E30" s="182" t="s">
        <v>178</v>
      </c>
      <c r="F30" s="187">
        <v>1344000</v>
      </c>
      <c r="G30" s="188">
        <v>1343000</v>
      </c>
      <c r="H30" s="185">
        <f t="shared" si="1"/>
        <v>2.19</v>
      </c>
      <c r="I30" s="186">
        <f t="shared" si="2"/>
        <v>2943360</v>
      </c>
    </row>
    <row r="31" spans="2:9" ht="3.75" customHeight="1" x14ac:dyDescent="0.25"/>
    <row r="32" spans="2:9" ht="44.25" customHeight="1" x14ac:dyDescent="0.25">
      <c r="B32" s="319" t="s">
        <v>163</v>
      </c>
      <c r="C32" s="319" t="s">
        <v>163</v>
      </c>
      <c r="D32" s="194" t="s">
        <v>157</v>
      </c>
      <c r="E32" s="194" t="s">
        <v>156</v>
      </c>
      <c r="F32" s="194" t="s">
        <v>154</v>
      </c>
      <c r="G32" s="195" t="s">
        <v>192</v>
      </c>
      <c r="H32" s="194" t="s">
        <v>155</v>
      </c>
      <c r="I32" s="195" t="s">
        <v>193</v>
      </c>
    </row>
    <row r="33" spans="2:10" ht="35.25" customHeight="1" x14ac:dyDescent="0.25">
      <c r="B33" s="320"/>
      <c r="C33" s="320"/>
      <c r="D33" s="189" t="s">
        <v>147</v>
      </c>
      <c r="E33" s="182" t="s">
        <v>148</v>
      </c>
      <c r="F33" s="190">
        <v>95900</v>
      </c>
      <c r="G33" s="191">
        <v>94900</v>
      </c>
      <c r="H33" s="190">
        <v>2877000</v>
      </c>
      <c r="I33" s="184">
        <v>2876000</v>
      </c>
      <c r="J33" s="175"/>
    </row>
    <row r="34" spans="2:10" ht="42.75" customHeight="1" x14ac:dyDescent="0.25">
      <c r="B34" s="320"/>
      <c r="C34" s="320"/>
      <c r="D34" s="189" t="s">
        <v>150</v>
      </c>
      <c r="E34" s="182" t="s">
        <v>149</v>
      </c>
      <c r="F34" s="190">
        <v>206000</v>
      </c>
      <c r="G34" s="191">
        <v>205000</v>
      </c>
      <c r="H34" s="190">
        <v>6180000</v>
      </c>
      <c r="I34" s="184">
        <v>6179000</v>
      </c>
      <c r="J34" s="175"/>
    </row>
    <row r="35" spans="2:10" ht="35.25" customHeight="1" x14ac:dyDescent="0.25">
      <c r="B35" s="320"/>
      <c r="C35" s="320"/>
      <c r="D35" s="189" t="s">
        <v>66</v>
      </c>
      <c r="E35" s="182" t="s">
        <v>151</v>
      </c>
      <c r="F35" s="190">
        <v>149533</v>
      </c>
      <c r="G35" s="191">
        <v>148533</v>
      </c>
      <c r="H35" s="190">
        <v>4486000</v>
      </c>
      <c r="I35" s="184">
        <v>4485000</v>
      </c>
      <c r="J35" s="175"/>
    </row>
    <row r="36" spans="2:10" ht="35.25" customHeight="1" x14ac:dyDescent="0.25">
      <c r="B36" s="320"/>
      <c r="C36" s="320"/>
      <c r="D36" s="189" t="s">
        <v>67</v>
      </c>
      <c r="E36" s="182" t="s">
        <v>152</v>
      </c>
      <c r="F36" s="190">
        <v>191900</v>
      </c>
      <c r="G36" s="191">
        <v>190900</v>
      </c>
      <c r="H36" s="190">
        <v>5757000</v>
      </c>
      <c r="I36" s="184">
        <v>5756000</v>
      </c>
      <c r="J36" s="175"/>
    </row>
    <row r="37" spans="2:10" ht="35.25" customHeight="1" x14ac:dyDescent="0.25">
      <c r="B37" s="320"/>
      <c r="C37" s="320"/>
      <c r="D37" s="189" t="s">
        <v>160</v>
      </c>
      <c r="E37" s="182" t="s">
        <v>153</v>
      </c>
      <c r="F37" s="190">
        <v>170000</v>
      </c>
      <c r="G37" s="191">
        <v>169000</v>
      </c>
      <c r="H37" s="192">
        <v>5093000</v>
      </c>
      <c r="I37" s="184">
        <v>5092000</v>
      </c>
      <c r="J37" s="175"/>
    </row>
    <row r="38" spans="2:10" ht="35.25" customHeight="1" x14ac:dyDescent="0.25">
      <c r="B38" s="320"/>
      <c r="C38" s="320"/>
      <c r="D38" s="189" t="s">
        <v>161</v>
      </c>
      <c r="E38" s="182" t="s">
        <v>158</v>
      </c>
      <c r="F38" s="190">
        <v>242000</v>
      </c>
      <c r="G38" s="191">
        <v>241000</v>
      </c>
      <c r="H38" s="192">
        <v>7271000</v>
      </c>
      <c r="I38" s="184">
        <v>7270000</v>
      </c>
      <c r="J38" s="175"/>
    </row>
    <row r="39" spans="2:10" ht="35.25" customHeight="1" x14ac:dyDescent="0.25">
      <c r="B39" s="321"/>
      <c r="C39" s="321"/>
      <c r="D39" s="189" t="s">
        <v>162</v>
      </c>
      <c r="E39" s="182" t="s">
        <v>159</v>
      </c>
      <c r="F39" s="190">
        <v>330000</v>
      </c>
      <c r="G39" s="191">
        <v>329000</v>
      </c>
      <c r="H39" s="192">
        <v>9898000</v>
      </c>
      <c r="I39" s="184">
        <v>9897000</v>
      </c>
      <c r="J39" s="175"/>
    </row>
    <row r="41" spans="2:10" ht="24" customHeight="1" x14ac:dyDescent="0.25">
      <c r="B41" s="359" t="s">
        <v>182</v>
      </c>
      <c r="C41" s="355" t="s">
        <v>183</v>
      </c>
      <c r="D41" s="355"/>
      <c r="E41" s="364" t="s">
        <v>184</v>
      </c>
      <c r="F41" s="365"/>
      <c r="G41" s="365"/>
      <c r="H41" s="365"/>
      <c r="I41" s="366"/>
    </row>
    <row r="42" spans="2:10" ht="30.75" customHeight="1" x14ac:dyDescent="0.25">
      <c r="B42" s="359"/>
      <c r="C42" s="355"/>
      <c r="D42" s="355"/>
      <c r="E42" s="367">
        <v>0.01</v>
      </c>
      <c r="F42" s="368"/>
      <c r="G42" s="368"/>
      <c r="H42" s="368"/>
      <c r="I42" s="369"/>
    </row>
    <row r="43" spans="2:10" ht="23.25" customHeight="1" x14ac:dyDescent="0.25">
      <c r="I43" s="193" t="s">
        <v>194</v>
      </c>
    </row>
    <row r="44" spans="2:10" ht="26.25" customHeight="1" x14ac:dyDescent="0.25">
      <c r="B44" s="370" t="s">
        <v>187</v>
      </c>
      <c r="C44" s="371" t="s">
        <v>186</v>
      </c>
      <c r="D44" s="372"/>
      <c r="E44" s="372"/>
      <c r="F44" s="372"/>
      <c r="G44" s="372"/>
      <c r="H44" s="375">
        <v>1600000</v>
      </c>
      <c r="I44" s="377">
        <v>1599000</v>
      </c>
    </row>
    <row r="45" spans="2:10" ht="28.5" customHeight="1" x14ac:dyDescent="0.25">
      <c r="B45" s="370"/>
      <c r="C45" s="373"/>
      <c r="D45" s="374"/>
      <c r="E45" s="374"/>
      <c r="F45" s="374"/>
      <c r="G45" s="374"/>
      <c r="H45" s="376"/>
      <c r="I45" s="378"/>
    </row>
    <row r="46" spans="2:10" ht="30.75" customHeight="1" x14ac:dyDescent="0.25">
      <c r="B46" s="173" t="s">
        <v>180</v>
      </c>
    </row>
    <row r="47" spans="2:10" ht="24.75" customHeight="1" x14ac:dyDescent="0.25">
      <c r="B47" s="173" t="s">
        <v>181</v>
      </c>
    </row>
    <row r="48" spans="2:10" ht="30" customHeight="1" x14ac:dyDescent="0.25">
      <c r="B48" s="173" t="s">
        <v>188</v>
      </c>
    </row>
    <row r="54" spans="2:3" ht="19.5" customHeight="1" x14ac:dyDescent="0.25">
      <c r="B54" s="362" t="s">
        <v>198</v>
      </c>
      <c r="C54" s="363"/>
    </row>
    <row r="55" spans="2:3" ht="18" x14ac:dyDescent="0.25">
      <c r="B55" s="361" t="s">
        <v>195</v>
      </c>
      <c r="C55" s="360"/>
    </row>
    <row r="56" spans="2:3" ht="18" customHeight="1" x14ac:dyDescent="0.25">
      <c r="B56" s="360" t="s">
        <v>196</v>
      </c>
      <c r="C56" s="360"/>
    </row>
    <row r="57" spans="2:3" ht="18" x14ac:dyDescent="0.25">
      <c r="B57" s="360" t="s">
        <v>197</v>
      </c>
      <c r="C57" s="360"/>
    </row>
  </sheetData>
  <protectedRanges>
    <protectedRange sqref="I10" name="Rango1_4_1_2_1_1"/>
    <protectedRange sqref="E41" name="Rango1_4_2_1"/>
  </protectedRanges>
  <mergeCells count="22">
    <mergeCell ref="B57:C57"/>
    <mergeCell ref="B56:C56"/>
    <mergeCell ref="B55:C55"/>
    <mergeCell ref="B54:C54"/>
    <mergeCell ref="E41:I41"/>
    <mergeCell ref="E42:I42"/>
    <mergeCell ref="B44:B45"/>
    <mergeCell ref="C44:G45"/>
    <mergeCell ref="H44:H45"/>
    <mergeCell ref="I44:I45"/>
    <mergeCell ref="B22:B30"/>
    <mergeCell ref="C22:C30"/>
    <mergeCell ref="B32:B39"/>
    <mergeCell ref="C32:C39"/>
    <mergeCell ref="B41:B42"/>
    <mergeCell ref="C41:D42"/>
    <mergeCell ref="B5:I5"/>
    <mergeCell ref="B10:C10"/>
    <mergeCell ref="B11:B13"/>
    <mergeCell ref="C11:C13"/>
    <mergeCell ref="B14:B20"/>
    <mergeCell ref="C14:C20"/>
  </mergeCells>
  <printOptions horizontalCentered="1"/>
  <pageMargins left="0.54" right="0.28000000000000003" top="0.33" bottom="0.3" header="0.31496062992125984" footer="0.31496062992125984"/>
  <pageSetup scale="3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</sheetPr>
  <dimension ref="A2:Y225"/>
  <sheetViews>
    <sheetView workbookViewId="0"/>
  </sheetViews>
  <sheetFormatPr baseColWidth="10" defaultRowHeight="14.25" x14ac:dyDescent="0.2"/>
  <cols>
    <col min="1" max="1" width="8.5703125" style="60" customWidth="1"/>
    <col min="2" max="2" width="45.5703125" style="61" customWidth="1"/>
    <col min="3" max="3" width="12" style="61" bestFit="1" customWidth="1"/>
    <col min="4" max="4" width="13.85546875" style="61" bestFit="1" customWidth="1"/>
    <col min="5" max="5" width="20.5703125" style="61" customWidth="1"/>
    <col min="6" max="6" width="19" style="61" bestFit="1" customWidth="1"/>
    <col min="7" max="8" width="10.5703125" style="61" customWidth="1"/>
    <col min="9" max="9" width="25.5703125" style="83" bestFit="1" customWidth="1"/>
    <col min="10" max="10" width="25" style="61" bestFit="1" customWidth="1"/>
    <col min="11" max="11" width="18.5703125" style="62" bestFit="1" customWidth="1"/>
    <col min="12" max="12" width="24.5703125" style="105" customWidth="1"/>
    <col min="13" max="13" width="19.5703125" style="63" bestFit="1" customWidth="1"/>
    <col min="14" max="14" width="21.42578125" style="63" customWidth="1"/>
    <col min="15" max="16" width="11.42578125" style="63" customWidth="1"/>
    <col min="17" max="17" width="5.140625" style="63" customWidth="1"/>
    <col min="18" max="18" width="11.42578125" style="64"/>
    <col min="19" max="25" width="11.42578125" style="63"/>
    <col min="26" max="257" width="11.42578125" style="61"/>
    <col min="258" max="258" width="6" style="61" customWidth="1"/>
    <col min="259" max="259" width="49.5703125" style="61" customWidth="1"/>
    <col min="260" max="260" width="9.42578125" style="61" customWidth="1"/>
    <col min="261" max="261" width="11.5703125" style="61" bestFit="1" customWidth="1"/>
    <col min="262" max="262" width="15.5703125" style="61" customWidth="1"/>
    <col min="263" max="263" width="15.42578125" style="61" customWidth="1"/>
    <col min="264" max="264" width="16.42578125" style="61" bestFit="1" customWidth="1"/>
    <col min="265" max="265" width="23.42578125" style="61" customWidth="1"/>
    <col min="266" max="266" width="16.140625" style="61" bestFit="1" customWidth="1"/>
    <col min="267" max="273" width="0" style="61" hidden="1" customWidth="1"/>
    <col min="274" max="274" width="17.42578125" style="61" bestFit="1" customWidth="1"/>
    <col min="275" max="513" width="11.42578125" style="61"/>
    <col min="514" max="514" width="6" style="61" customWidth="1"/>
    <col min="515" max="515" width="49.5703125" style="61" customWidth="1"/>
    <col min="516" max="516" width="9.42578125" style="61" customWidth="1"/>
    <col min="517" max="517" width="11.5703125" style="61" bestFit="1" customWidth="1"/>
    <col min="518" max="518" width="15.5703125" style="61" customWidth="1"/>
    <col min="519" max="519" width="15.42578125" style="61" customWidth="1"/>
    <col min="520" max="520" width="16.42578125" style="61" bestFit="1" customWidth="1"/>
    <col min="521" max="521" width="23.42578125" style="61" customWidth="1"/>
    <col min="522" max="522" width="16.140625" style="61" bestFit="1" customWidth="1"/>
    <col min="523" max="529" width="0" style="61" hidden="1" customWidth="1"/>
    <col min="530" max="530" width="17.42578125" style="61" bestFit="1" customWidth="1"/>
    <col min="531" max="769" width="11.42578125" style="61"/>
    <col min="770" max="770" width="6" style="61" customWidth="1"/>
    <col min="771" max="771" width="49.5703125" style="61" customWidth="1"/>
    <col min="772" max="772" width="9.42578125" style="61" customWidth="1"/>
    <col min="773" max="773" width="11.5703125" style="61" bestFit="1" customWidth="1"/>
    <col min="774" max="774" width="15.5703125" style="61" customWidth="1"/>
    <col min="775" max="775" width="15.42578125" style="61" customWidth="1"/>
    <col min="776" max="776" width="16.42578125" style="61" bestFit="1" customWidth="1"/>
    <col min="777" max="777" width="23.42578125" style="61" customWidth="1"/>
    <col min="778" max="778" width="16.140625" style="61" bestFit="1" customWidth="1"/>
    <col min="779" max="785" width="0" style="61" hidden="1" customWidth="1"/>
    <col min="786" max="786" width="17.42578125" style="61" bestFit="1" customWidth="1"/>
    <col min="787" max="1025" width="11.42578125" style="61"/>
    <col min="1026" max="1026" width="6" style="61" customWidth="1"/>
    <col min="1027" max="1027" width="49.5703125" style="61" customWidth="1"/>
    <col min="1028" max="1028" width="9.42578125" style="61" customWidth="1"/>
    <col min="1029" max="1029" width="11.5703125" style="61" bestFit="1" customWidth="1"/>
    <col min="1030" max="1030" width="15.5703125" style="61" customWidth="1"/>
    <col min="1031" max="1031" width="15.42578125" style="61" customWidth="1"/>
    <col min="1032" max="1032" width="16.42578125" style="61" bestFit="1" customWidth="1"/>
    <col min="1033" max="1033" width="23.42578125" style="61" customWidth="1"/>
    <col min="1034" max="1034" width="16.140625" style="61" bestFit="1" customWidth="1"/>
    <col min="1035" max="1041" width="0" style="61" hidden="1" customWidth="1"/>
    <col min="1042" max="1042" width="17.42578125" style="61" bestFit="1" customWidth="1"/>
    <col min="1043" max="1281" width="11.42578125" style="61"/>
    <col min="1282" max="1282" width="6" style="61" customWidth="1"/>
    <col min="1283" max="1283" width="49.5703125" style="61" customWidth="1"/>
    <col min="1284" max="1284" width="9.42578125" style="61" customWidth="1"/>
    <col min="1285" max="1285" width="11.5703125" style="61" bestFit="1" customWidth="1"/>
    <col min="1286" max="1286" width="15.5703125" style="61" customWidth="1"/>
    <col min="1287" max="1287" width="15.42578125" style="61" customWidth="1"/>
    <col min="1288" max="1288" width="16.42578125" style="61" bestFit="1" customWidth="1"/>
    <col min="1289" max="1289" width="23.42578125" style="61" customWidth="1"/>
    <col min="1290" max="1290" width="16.140625" style="61" bestFit="1" customWidth="1"/>
    <col min="1291" max="1297" width="0" style="61" hidden="1" customWidth="1"/>
    <col min="1298" max="1298" width="17.42578125" style="61" bestFit="1" customWidth="1"/>
    <col min="1299" max="1537" width="11.42578125" style="61"/>
    <col min="1538" max="1538" width="6" style="61" customWidth="1"/>
    <col min="1539" max="1539" width="49.5703125" style="61" customWidth="1"/>
    <col min="1540" max="1540" width="9.42578125" style="61" customWidth="1"/>
    <col min="1541" max="1541" width="11.5703125" style="61" bestFit="1" customWidth="1"/>
    <col min="1542" max="1542" width="15.5703125" style="61" customWidth="1"/>
    <col min="1543" max="1543" width="15.42578125" style="61" customWidth="1"/>
    <col min="1544" max="1544" width="16.42578125" style="61" bestFit="1" customWidth="1"/>
    <col min="1545" max="1545" width="23.42578125" style="61" customWidth="1"/>
    <col min="1546" max="1546" width="16.140625" style="61" bestFit="1" customWidth="1"/>
    <col min="1547" max="1553" width="0" style="61" hidden="1" customWidth="1"/>
    <col min="1554" max="1554" width="17.42578125" style="61" bestFit="1" customWidth="1"/>
    <col min="1555" max="1793" width="11.42578125" style="61"/>
    <col min="1794" max="1794" width="6" style="61" customWidth="1"/>
    <col min="1795" max="1795" width="49.5703125" style="61" customWidth="1"/>
    <col min="1796" max="1796" width="9.42578125" style="61" customWidth="1"/>
    <col min="1797" max="1797" width="11.5703125" style="61" bestFit="1" customWidth="1"/>
    <col min="1798" max="1798" width="15.5703125" style="61" customWidth="1"/>
    <col min="1799" max="1799" width="15.42578125" style="61" customWidth="1"/>
    <col min="1800" max="1800" width="16.42578125" style="61" bestFit="1" customWidth="1"/>
    <col min="1801" max="1801" width="23.42578125" style="61" customWidth="1"/>
    <col min="1802" max="1802" width="16.140625" style="61" bestFit="1" customWidth="1"/>
    <col min="1803" max="1809" width="0" style="61" hidden="1" customWidth="1"/>
    <col min="1810" max="1810" width="17.42578125" style="61" bestFit="1" customWidth="1"/>
    <col min="1811" max="2049" width="11.42578125" style="61"/>
    <col min="2050" max="2050" width="6" style="61" customWidth="1"/>
    <col min="2051" max="2051" width="49.5703125" style="61" customWidth="1"/>
    <col min="2052" max="2052" width="9.42578125" style="61" customWidth="1"/>
    <col min="2053" max="2053" width="11.5703125" style="61" bestFit="1" customWidth="1"/>
    <col min="2054" max="2054" width="15.5703125" style="61" customWidth="1"/>
    <col min="2055" max="2055" width="15.42578125" style="61" customWidth="1"/>
    <col min="2056" max="2056" width="16.42578125" style="61" bestFit="1" customWidth="1"/>
    <col min="2057" max="2057" width="23.42578125" style="61" customWidth="1"/>
    <col min="2058" max="2058" width="16.140625" style="61" bestFit="1" customWidth="1"/>
    <col min="2059" max="2065" width="0" style="61" hidden="1" customWidth="1"/>
    <col min="2066" max="2066" width="17.42578125" style="61" bestFit="1" customWidth="1"/>
    <col min="2067" max="2305" width="11.42578125" style="61"/>
    <col min="2306" max="2306" width="6" style="61" customWidth="1"/>
    <col min="2307" max="2307" width="49.5703125" style="61" customWidth="1"/>
    <col min="2308" max="2308" width="9.42578125" style="61" customWidth="1"/>
    <col min="2309" max="2309" width="11.5703125" style="61" bestFit="1" customWidth="1"/>
    <col min="2310" max="2310" width="15.5703125" style="61" customWidth="1"/>
    <col min="2311" max="2311" width="15.42578125" style="61" customWidth="1"/>
    <col min="2312" max="2312" width="16.42578125" style="61" bestFit="1" customWidth="1"/>
    <col min="2313" max="2313" width="23.42578125" style="61" customWidth="1"/>
    <col min="2314" max="2314" width="16.140625" style="61" bestFit="1" customWidth="1"/>
    <col min="2315" max="2321" width="0" style="61" hidden="1" customWidth="1"/>
    <col min="2322" max="2322" width="17.42578125" style="61" bestFit="1" customWidth="1"/>
    <col min="2323" max="2561" width="11.42578125" style="61"/>
    <col min="2562" max="2562" width="6" style="61" customWidth="1"/>
    <col min="2563" max="2563" width="49.5703125" style="61" customWidth="1"/>
    <col min="2564" max="2564" width="9.42578125" style="61" customWidth="1"/>
    <col min="2565" max="2565" width="11.5703125" style="61" bestFit="1" customWidth="1"/>
    <col min="2566" max="2566" width="15.5703125" style="61" customWidth="1"/>
    <col min="2567" max="2567" width="15.42578125" style="61" customWidth="1"/>
    <col min="2568" max="2568" width="16.42578125" style="61" bestFit="1" customWidth="1"/>
    <col min="2569" max="2569" width="23.42578125" style="61" customWidth="1"/>
    <col min="2570" max="2570" width="16.140625" style="61" bestFit="1" customWidth="1"/>
    <col min="2571" max="2577" width="0" style="61" hidden="1" customWidth="1"/>
    <col min="2578" max="2578" width="17.42578125" style="61" bestFit="1" customWidth="1"/>
    <col min="2579" max="2817" width="11.42578125" style="61"/>
    <col min="2818" max="2818" width="6" style="61" customWidth="1"/>
    <col min="2819" max="2819" width="49.5703125" style="61" customWidth="1"/>
    <col min="2820" max="2820" width="9.42578125" style="61" customWidth="1"/>
    <col min="2821" max="2821" width="11.5703125" style="61" bestFit="1" customWidth="1"/>
    <col min="2822" max="2822" width="15.5703125" style="61" customWidth="1"/>
    <col min="2823" max="2823" width="15.42578125" style="61" customWidth="1"/>
    <col min="2824" max="2824" width="16.42578125" style="61" bestFit="1" customWidth="1"/>
    <col min="2825" max="2825" width="23.42578125" style="61" customWidth="1"/>
    <col min="2826" max="2826" width="16.140625" style="61" bestFit="1" customWidth="1"/>
    <col min="2827" max="2833" width="0" style="61" hidden="1" customWidth="1"/>
    <col min="2834" max="2834" width="17.42578125" style="61" bestFit="1" customWidth="1"/>
    <col min="2835" max="3073" width="11.42578125" style="61"/>
    <col min="3074" max="3074" width="6" style="61" customWidth="1"/>
    <col min="3075" max="3075" width="49.5703125" style="61" customWidth="1"/>
    <col min="3076" max="3076" width="9.42578125" style="61" customWidth="1"/>
    <col min="3077" max="3077" width="11.5703125" style="61" bestFit="1" customWidth="1"/>
    <col min="3078" max="3078" width="15.5703125" style="61" customWidth="1"/>
    <col min="3079" max="3079" width="15.42578125" style="61" customWidth="1"/>
    <col min="3080" max="3080" width="16.42578125" style="61" bestFit="1" customWidth="1"/>
    <col min="3081" max="3081" width="23.42578125" style="61" customWidth="1"/>
    <col min="3082" max="3082" width="16.140625" style="61" bestFit="1" customWidth="1"/>
    <col min="3083" max="3089" width="0" style="61" hidden="1" customWidth="1"/>
    <col min="3090" max="3090" width="17.42578125" style="61" bestFit="1" customWidth="1"/>
    <col min="3091" max="3329" width="11.42578125" style="61"/>
    <col min="3330" max="3330" width="6" style="61" customWidth="1"/>
    <col min="3331" max="3331" width="49.5703125" style="61" customWidth="1"/>
    <col min="3332" max="3332" width="9.42578125" style="61" customWidth="1"/>
    <col min="3333" max="3333" width="11.5703125" style="61" bestFit="1" customWidth="1"/>
    <col min="3334" max="3334" width="15.5703125" style="61" customWidth="1"/>
    <col min="3335" max="3335" width="15.42578125" style="61" customWidth="1"/>
    <col min="3336" max="3336" width="16.42578125" style="61" bestFit="1" customWidth="1"/>
    <col min="3337" max="3337" width="23.42578125" style="61" customWidth="1"/>
    <col min="3338" max="3338" width="16.140625" style="61" bestFit="1" customWidth="1"/>
    <col min="3339" max="3345" width="0" style="61" hidden="1" customWidth="1"/>
    <col min="3346" max="3346" width="17.42578125" style="61" bestFit="1" customWidth="1"/>
    <col min="3347" max="3585" width="11.42578125" style="61"/>
    <col min="3586" max="3586" width="6" style="61" customWidth="1"/>
    <col min="3587" max="3587" width="49.5703125" style="61" customWidth="1"/>
    <col min="3588" max="3588" width="9.42578125" style="61" customWidth="1"/>
    <col min="3589" max="3589" width="11.5703125" style="61" bestFit="1" customWidth="1"/>
    <col min="3590" max="3590" width="15.5703125" style="61" customWidth="1"/>
    <col min="3591" max="3591" width="15.42578125" style="61" customWidth="1"/>
    <col min="3592" max="3592" width="16.42578125" style="61" bestFit="1" customWidth="1"/>
    <col min="3593" max="3593" width="23.42578125" style="61" customWidth="1"/>
    <col min="3594" max="3594" width="16.140625" style="61" bestFit="1" customWidth="1"/>
    <col min="3595" max="3601" width="0" style="61" hidden="1" customWidth="1"/>
    <col min="3602" max="3602" width="17.42578125" style="61" bestFit="1" customWidth="1"/>
    <col min="3603" max="3841" width="11.42578125" style="61"/>
    <col min="3842" max="3842" width="6" style="61" customWidth="1"/>
    <col min="3843" max="3843" width="49.5703125" style="61" customWidth="1"/>
    <col min="3844" max="3844" width="9.42578125" style="61" customWidth="1"/>
    <col min="3845" max="3845" width="11.5703125" style="61" bestFit="1" customWidth="1"/>
    <col min="3846" max="3846" width="15.5703125" style="61" customWidth="1"/>
    <col min="3847" max="3847" width="15.42578125" style="61" customWidth="1"/>
    <col min="3848" max="3848" width="16.42578125" style="61" bestFit="1" customWidth="1"/>
    <col min="3849" max="3849" width="23.42578125" style="61" customWidth="1"/>
    <col min="3850" max="3850" width="16.140625" style="61" bestFit="1" customWidth="1"/>
    <col min="3851" max="3857" width="0" style="61" hidden="1" customWidth="1"/>
    <col min="3858" max="3858" width="17.42578125" style="61" bestFit="1" customWidth="1"/>
    <col min="3859" max="4097" width="11.42578125" style="61"/>
    <col min="4098" max="4098" width="6" style="61" customWidth="1"/>
    <col min="4099" max="4099" width="49.5703125" style="61" customWidth="1"/>
    <col min="4100" max="4100" width="9.42578125" style="61" customWidth="1"/>
    <col min="4101" max="4101" width="11.5703125" style="61" bestFit="1" customWidth="1"/>
    <col min="4102" max="4102" width="15.5703125" style="61" customWidth="1"/>
    <col min="4103" max="4103" width="15.42578125" style="61" customWidth="1"/>
    <col min="4104" max="4104" width="16.42578125" style="61" bestFit="1" customWidth="1"/>
    <col min="4105" max="4105" width="23.42578125" style="61" customWidth="1"/>
    <col min="4106" max="4106" width="16.140625" style="61" bestFit="1" customWidth="1"/>
    <col min="4107" max="4113" width="0" style="61" hidden="1" customWidth="1"/>
    <col min="4114" max="4114" width="17.42578125" style="61" bestFit="1" customWidth="1"/>
    <col min="4115" max="4353" width="11.42578125" style="61"/>
    <col min="4354" max="4354" width="6" style="61" customWidth="1"/>
    <col min="4355" max="4355" width="49.5703125" style="61" customWidth="1"/>
    <col min="4356" max="4356" width="9.42578125" style="61" customWidth="1"/>
    <col min="4357" max="4357" width="11.5703125" style="61" bestFit="1" customWidth="1"/>
    <col min="4358" max="4358" width="15.5703125" style="61" customWidth="1"/>
    <col min="4359" max="4359" width="15.42578125" style="61" customWidth="1"/>
    <col min="4360" max="4360" width="16.42578125" style="61" bestFit="1" customWidth="1"/>
    <col min="4361" max="4361" width="23.42578125" style="61" customWidth="1"/>
    <col min="4362" max="4362" width="16.140625" style="61" bestFit="1" customWidth="1"/>
    <col min="4363" max="4369" width="0" style="61" hidden="1" customWidth="1"/>
    <col min="4370" max="4370" width="17.42578125" style="61" bestFit="1" customWidth="1"/>
    <col min="4371" max="4609" width="11.42578125" style="61"/>
    <col min="4610" max="4610" width="6" style="61" customWidth="1"/>
    <col min="4611" max="4611" width="49.5703125" style="61" customWidth="1"/>
    <col min="4612" max="4612" width="9.42578125" style="61" customWidth="1"/>
    <col min="4613" max="4613" width="11.5703125" style="61" bestFit="1" customWidth="1"/>
    <col min="4614" max="4614" width="15.5703125" style="61" customWidth="1"/>
    <col min="4615" max="4615" width="15.42578125" style="61" customWidth="1"/>
    <col min="4616" max="4616" width="16.42578125" style="61" bestFit="1" customWidth="1"/>
    <col min="4617" max="4617" width="23.42578125" style="61" customWidth="1"/>
    <col min="4618" max="4618" width="16.140625" style="61" bestFit="1" customWidth="1"/>
    <col min="4619" max="4625" width="0" style="61" hidden="1" customWidth="1"/>
    <col min="4626" max="4626" width="17.42578125" style="61" bestFit="1" customWidth="1"/>
    <col min="4627" max="4865" width="11.42578125" style="61"/>
    <col min="4866" max="4866" width="6" style="61" customWidth="1"/>
    <col min="4867" max="4867" width="49.5703125" style="61" customWidth="1"/>
    <col min="4868" max="4868" width="9.42578125" style="61" customWidth="1"/>
    <col min="4869" max="4869" width="11.5703125" style="61" bestFit="1" customWidth="1"/>
    <col min="4870" max="4870" width="15.5703125" style="61" customWidth="1"/>
    <col min="4871" max="4871" width="15.42578125" style="61" customWidth="1"/>
    <col min="4872" max="4872" width="16.42578125" style="61" bestFit="1" customWidth="1"/>
    <col min="4873" max="4873" width="23.42578125" style="61" customWidth="1"/>
    <col min="4874" max="4874" width="16.140625" style="61" bestFit="1" customWidth="1"/>
    <col min="4875" max="4881" width="0" style="61" hidden="1" customWidth="1"/>
    <col min="4882" max="4882" width="17.42578125" style="61" bestFit="1" customWidth="1"/>
    <col min="4883" max="5121" width="11.42578125" style="61"/>
    <col min="5122" max="5122" width="6" style="61" customWidth="1"/>
    <col min="5123" max="5123" width="49.5703125" style="61" customWidth="1"/>
    <col min="5124" max="5124" width="9.42578125" style="61" customWidth="1"/>
    <col min="5125" max="5125" width="11.5703125" style="61" bestFit="1" customWidth="1"/>
    <col min="5126" max="5126" width="15.5703125" style="61" customWidth="1"/>
    <col min="5127" max="5127" width="15.42578125" style="61" customWidth="1"/>
    <col min="5128" max="5128" width="16.42578125" style="61" bestFit="1" customWidth="1"/>
    <col min="5129" max="5129" width="23.42578125" style="61" customWidth="1"/>
    <col min="5130" max="5130" width="16.140625" style="61" bestFit="1" customWidth="1"/>
    <col min="5131" max="5137" width="0" style="61" hidden="1" customWidth="1"/>
    <col min="5138" max="5138" width="17.42578125" style="61" bestFit="1" customWidth="1"/>
    <col min="5139" max="5377" width="11.42578125" style="61"/>
    <col min="5378" max="5378" width="6" style="61" customWidth="1"/>
    <col min="5379" max="5379" width="49.5703125" style="61" customWidth="1"/>
    <col min="5380" max="5380" width="9.42578125" style="61" customWidth="1"/>
    <col min="5381" max="5381" width="11.5703125" style="61" bestFit="1" customWidth="1"/>
    <col min="5382" max="5382" width="15.5703125" style="61" customWidth="1"/>
    <col min="5383" max="5383" width="15.42578125" style="61" customWidth="1"/>
    <col min="5384" max="5384" width="16.42578125" style="61" bestFit="1" customWidth="1"/>
    <col min="5385" max="5385" width="23.42578125" style="61" customWidth="1"/>
    <col min="5386" max="5386" width="16.140625" style="61" bestFit="1" customWidth="1"/>
    <col min="5387" max="5393" width="0" style="61" hidden="1" customWidth="1"/>
    <col min="5394" max="5394" width="17.42578125" style="61" bestFit="1" customWidth="1"/>
    <col min="5395" max="5633" width="11.42578125" style="61"/>
    <col min="5634" max="5634" width="6" style="61" customWidth="1"/>
    <col min="5635" max="5635" width="49.5703125" style="61" customWidth="1"/>
    <col min="5636" max="5636" width="9.42578125" style="61" customWidth="1"/>
    <col min="5637" max="5637" width="11.5703125" style="61" bestFit="1" customWidth="1"/>
    <col min="5638" max="5638" width="15.5703125" style="61" customWidth="1"/>
    <col min="5639" max="5639" width="15.42578125" style="61" customWidth="1"/>
    <col min="5640" max="5640" width="16.42578125" style="61" bestFit="1" customWidth="1"/>
    <col min="5641" max="5641" width="23.42578125" style="61" customWidth="1"/>
    <col min="5642" max="5642" width="16.140625" style="61" bestFit="1" customWidth="1"/>
    <col min="5643" max="5649" width="0" style="61" hidden="1" customWidth="1"/>
    <col min="5650" max="5650" width="17.42578125" style="61" bestFit="1" customWidth="1"/>
    <col min="5651" max="5889" width="11.42578125" style="61"/>
    <col min="5890" max="5890" width="6" style="61" customWidth="1"/>
    <col min="5891" max="5891" width="49.5703125" style="61" customWidth="1"/>
    <col min="5892" max="5892" width="9.42578125" style="61" customWidth="1"/>
    <col min="5893" max="5893" width="11.5703125" style="61" bestFit="1" customWidth="1"/>
    <col min="5894" max="5894" width="15.5703125" style="61" customWidth="1"/>
    <col min="5895" max="5895" width="15.42578125" style="61" customWidth="1"/>
    <col min="5896" max="5896" width="16.42578125" style="61" bestFit="1" customWidth="1"/>
    <col min="5897" max="5897" width="23.42578125" style="61" customWidth="1"/>
    <col min="5898" max="5898" width="16.140625" style="61" bestFit="1" customWidth="1"/>
    <col min="5899" max="5905" width="0" style="61" hidden="1" customWidth="1"/>
    <col min="5906" max="5906" width="17.42578125" style="61" bestFit="1" customWidth="1"/>
    <col min="5907" max="6145" width="11.42578125" style="61"/>
    <col min="6146" max="6146" width="6" style="61" customWidth="1"/>
    <col min="6147" max="6147" width="49.5703125" style="61" customWidth="1"/>
    <col min="6148" max="6148" width="9.42578125" style="61" customWidth="1"/>
    <col min="6149" max="6149" width="11.5703125" style="61" bestFit="1" customWidth="1"/>
    <col min="6150" max="6150" width="15.5703125" style="61" customWidth="1"/>
    <col min="6151" max="6151" width="15.42578125" style="61" customWidth="1"/>
    <col min="6152" max="6152" width="16.42578125" style="61" bestFit="1" customWidth="1"/>
    <col min="6153" max="6153" width="23.42578125" style="61" customWidth="1"/>
    <col min="6154" max="6154" width="16.140625" style="61" bestFit="1" customWidth="1"/>
    <col min="6155" max="6161" width="0" style="61" hidden="1" customWidth="1"/>
    <col min="6162" max="6162" width="17.42578125" style="61" bestFit="1" customWidth="1"/>
    <col min="6163" max="6401" width="11.42578125" style="61"/>
    <col min="6402" max="6402" width="6" style="61" customWidth="1"/>
    <col min="6403" max="6403" width="49.5703125" style="61" customWidth="1"/>
    <col min="6404" max="6404" width="9.42578125" style="61" customWidth="1"/>
    <col min="6405" max="6405" width="11.5703125" style="61" bestFit="1" customWidth="1"/>
    <col min="6406" max="6406" width="15.5703125" style="61" customWidth="1"/>
    <col min="6407" max="6407" width="15.42578125" style="61" customWidth="1"/>
    <col min="6408" max="6408" width="16.42578125" style="61" bestFit="1" customWidth="1"/>
    <col min="6409" max="6409" width="23.42578125" style="61" customWidth="1"/>
    <col min="6410" max="6410" width="16.140625" style="61" bestFit="1" customWidth="1"/>
    <col min="6411" max="6417" width="0" style="61" hidden="1" customWidth="1"/>
    <col min="6418" max="6418" width="17.42578125" style="61" bestFit="1" customWidth="1"/>
    <col min="6419" max="6657" width="11.42578125" style="61"/>
    <col min="6658" max="6658" width="6" style="61" customWidth="1"/>
    <col min="6659" max="6659" width="49.5703125" style="61" customWidth="1"/>
    <col min="6660" max="6660" width="9.42578125" style="61" customWidth="1"/>
    <col min="6661" max="6661" width="11.5703125" style="61" bestFit="1" customWidth="1"/>
    <col min="6662" max="6662" width="15.5703125" style="61" customWidth="1"/>
    <col min="6663" max="6663" width="15.42578125" style="61" customWidth="1"/>
    <col min="6664" max="6664" width="16.42578125" style="61" bestFit="1" customWidth="1"/>
    <col min="6665" max="6665" width="23.42578125" style="61" customWidth="1"/>
    <col min="6666" max="6666" width="16.140625" style="61" bestFit="1" customWidth="1"/>
    <col min="6667" max="6673" width="0" style="61" hidden="1" customWidth="1"/>
    <col min="6674" max="6674" width="17.42578125" style="61" bestFit="1" customWidth="1"/>
    <col min="6675" max="6913" width="11.42578125" style="61"/>
    <col min="6914" max="6914" width="6" style="61" customWidth="1"/>
    <col min="6915" max="6915" width="49.5703125" style="61" customWidth="1"/>
    <col min="6916" max="6916" width="9.42578125" style="61" customWidth="1"/>
    <col min="6917" max="6917" width="11.5703125" style="61" bestFit="1" customWidth="1"/>
    <col min="6918" max="6918" width="15.5703125" style="61" customWidth="1"/>
    <col min="6919" max="6919" width="15.42578125" style="61" customWidth="1"/>
    <col min="6920" max="6920" width="16.42578125" style="61" bestFit="1" customWidth="1"/>
    <col min="6921" max="6921" width="23.42578125" style="61" customWidth="1"/>
    <col min="6922" max="6922" width="16.140625" style="61" bestFit="1" customWidth="1"/>
    <col min="6923" max="6929" width="0" style="61" hidden="1" customWidth="1"/>
    <col min="6930" max="6930" width="17.42578125" style="61" bestFit="1" customWidth="1"/>
    <col min="6931" max="7169" width="11.42578125" style="61"/>
    <col min="7170" max="7170" width="6" style="61" customWidth="1"/>
    <col min="7171" max="7171" width="49.5703125" style="61" customWidth="1"/>
    <col min="7172" max="7172" width="9.42578125" style="61" customWidth="1"/>
    <col min="7173" max="7173" width="11.5703125" style="61" bestFit="1" customWidth="1"/>
    <col min="7174" max="7174" width="15.5703125" style="61" customWidth="1"/>
    <col min="7175" max="7175" width="15.42578125" style="61" customWidth="1"/>
    <col min="7176" max="7176" width="16.42578125" style="61" bestFit="1" customWidth="1"/>
    <col min="7177" max="7177" width="23.42578125" style="61" customWidth="1"/>
    <col min="7178" max="7178" width="16.140625" style="61" bestFit="1" customWidth="1"/>
    <col min="7179" max="7185" width="0" style="61" hidden="1" customWidth="1"/>
    <col min="7186" max="7186" width="17.42578125" style="61" bestFit="1" customWidth="1"/>
    <col min="7187" max="7425" width="11.42578125" style="61"/>
    <col min="7426" max="7426" width="6" style="61" customWidth="1"/>
    <col min="7427" max="7427" width="49.5703125" style="61" customWidth="1"/>
    <col min="7428" max="7428" width="9.42578125" style="61" customWidth="1"/>
    <col min="7429" max="7429" width="11.5703125" style="61" bestFit="1" customWidth="1"/>
    <col min="7430" max="7430" width="15.5703125" style="61" customWidth="1"/>
    <col min="7431" max="7431" width="15.42578125" style="61" customWidth="1"/>
    <col min="7432" max="7432" width="16.42578125" style="61" bestFit="1" customWidth="1"/>
    <col min="7433" max="7433" width="23.42578125" style="61" customWidth="1"/>
    <col min="7434" max="7434" width="16.140625" style="61" bestFit="1" customWidth="1"/>
    <col min="7435" max="7441" width="0" style="61" hidden="1" customWidth="1"/>
    <col min="7442" max="7442" width="17.42578125" style="61" bestFit="1" customWidth="1"/>
    <col min="7443" max="7681" width="11.42578125" style="61"/>
    <col min="7682" max="7682" width="6" style="61" customWidth="1"/>
    <col min="7683" max="7683" width="49.5703125" style="61" customWidth="1"/>
    <col min="7684" max="7684" width="9.42578125" style="61" customWidth="1"/>
    <col min="7685" max="7685" width="11.5703125" style="61" bestFit="1" customWidth="1"/>
    <col min="7686" max="7686" width="15.5703125" style="61" customWidth="1"/>
    <col min="7687" max="7687" width="15.42578125" style="61" customWidth="1"/>
    <col min="7688" max="7688" width="16.42578125" style="61" bestFit="1" customWidth="1"/>
    <col min="7689" max="7689" width="23.42578125" style="61" customWidth="1"/>
    <col min="7690" max="7690" width="16.140625" style="61" bestFit="1" customWidth="1"/>
    <col min="7691" max="7697" width="0" style="61" hidden="1" customWidth="1"/>
    <col min="7698" max="7698" width="17.42578125" style="61" bestFit="1" customWidth="1"/>
    <col min="7699" max="7937" width="11.42578125" style="61"/>
    <col min="7938" max="7938" width="6" style="61" customWidth="1"/>
    <col min="7939" max="7939" width="49.5703125" style="61" customWidth="1"/>
    <col min="7940" max="7940" width="9.42578125" style="61" customWidth="1"/>
    <col min="7941" max="7941" width="11.5703125" style="61" bestFit="1" customWidth="1"/>
    <col min="7942" max="7942" width="15.5703125" style="61" customWidth="1"/>
    <col min="7943" max="7943" width="15.42578125" style="61" customWidth="1"/>
    <col min="7944" max="7944" width="16.42578125" style="61" bestFit="1" customWidth="1"/>
    <col min="7945" max="7945" width="23.42578125" style="61" customWidth="1"/>
    <col min="7946" max="7946" width="16.140625" style="61" bestFit="1" customWidth="1"/>
    <col min="7947" max="7953" width="0" style="61" hidden="1" customWidth="1"/>
    <col min="7954" max="7954" width="17.42578125" style="61" bestFit="1" customWidth="1"/>
    <col min="7955" max="8193" width="11.42578125" style="61"/>
    <col min="8194" max="8194" width="6" style="61" customWidth="1"/>
    <col min="8195" max="8195" width="49.5703125" style="61" customWidth="1"/>
    <col min="8196" max="8196" width="9.42578125" style="61" customWidth="1"/>
    <col min="8197" max="8197" width="11.5703125" style="61" bestFit="1" customWidth="1"/>
    <col min="8198" max="8198" width="15.5703125" style="61" customWidth="1"/>
    <col min="8199" max="8199" width="15.42578125" style="61" customWidth="1"/>
    <col min="8200" max="8200" width="16.42578125" style="61" bestFit="1" customWidth="1"/>
    <col min="8201" max="8201" width="23.42578125" style="61" customWidth="1"/>
    <col min="8202" max="8202" width="16.140625" style="61" bestFit="1" customWidth="1"/>
    <col min="8203" max="8209" width="0" style="61" hidden="1" customWidth="1"/>
    <col min="8210" max="8210" width="17.42578125" style="61" bestFit="1" customWidth="1"/>
    <col min="8211" max="8449" width="11.42578125" style="61"/>
    <col min="8450" max="8450" width="6" style="61" customWidth="1"/>
    <col min="8451" max="8451" width="49.5703125" style="61" customWidth="1"/>
    <col min="8452" max="8452" width="9.42578125" style="61" customWidth="1"/>
    <col min="8453" max="8453" width="11.5703125" style="61" bestFit="1" customWidth="1"/>
    <col min="8454" max="8454" width="15.5703125" style="61" customWidth="1"/>
    <col min="8455" max="8455" width="15.42578125" style="61" customWidth="1"/>
    <col min="8456" max="8456" width="16.42578125" style="61" bestFit="1" customWidth="1"/>
    <col min="8457" max="8457" width="23.42578125" style="61" customWidth="1"/>
    <col min="8458" max="8458" width="16.140625" style="61" bestFit="1" customWidth="1"/>
    <col min="8459" max="8465" width="0" style="61" hidden="1" customWidth="1"/>
    <col min="8466" max="8466" width="17.42578125" style="61" bestFit="1" customWidth="1"/>
    <col min="8467" max="8705" width="11.42578125" style="61"/>
    <col min="8706" max="8706" width="6" style="61" customWidth="1"/>
    <col min="8707" max="8707" width="49.5703125" style="61" customWidth="1"/>
    <col min="8708" max="8708" width="9.42578125" style="61" customWidth="1"/>
    <col min="8709" max="8709" width="11.5703125" style="61" bestFit="1" customWidth="1"/>
    <col min="8710" max="8710" width="15.5703125" style="61" customWidth="1"/>
    <col min="8711" max="8711" width="15.42578125" style="61" customWidth="1"/>
    <col min="8712" max="8712" width="16.42578125" style="61" bestFit="1" customWidth="1"/>
    <col min="8713" max="8713" width="23.42578125" style="61" customWidth="1"/>
    <col min="8714" max="8714" width="16.140625" style="61" bestFit="1" customWidth="1"/>
    <col min="8715" max="8721" width="0" style="61" hidden="1" customWidth="1"/>
    <col min="8722" max="8722" width="17.42578125" style="61" bestFit="1" customWidth="1"/>
    <col min="8723" max="8961" width="11.42578125" style="61"/>
    <col min="8962" max="8962" width="6" style="61" customWidth="1"/>
    <col min="8963" max="8963" width="49.5703125" style="61" customWidth="1"/>
    <col min="8964" max="8964" width="9.42578125" style="61" customWidth="1"/>
    <col min="8965" max="8965" width="11.5703125" style="61" bestFit="1" customWidth="1"/>
    <col min="8966" max="8966" width="15.5703125" style="61" customWidth="1"/>
    <col min="8967" max="8967" width="15.42578125" style="61" customWidth="1"/>
    <col min="8968" max="8968" width="16.42578125" style="61" bestFit="1" customWidth="1"/>
    <col min="8969" max="8969" width="23.42578125" style="61" customWidth="1"/>
    <col min="8970" max="8970" width="16.140625" style="61" bestFit="1" customWidth="1"/>
    <col min="8971" max="8977" width="0" style="61" hidden="1" customWidth="1"/>
    <col min="8978" max="8978" width="17.42578125" style="61" bestFit="1" customWidth="1"/>
    <col min="8979" max="9217" width="11.42578125" style="61"/>
    <col min="9218" max="9218" width="6" style="61" customWidth="1"/>
    <col min="9219" max="9219" width="49.5703125" style="61" customWidth="1"/>
    <col min="9220" max="9220" width="9.42578125" style="61" customWidth="1"/>
    <col min="9221" max="9221" width="11.5703125" style="61" bestFit="1" customWidth="1"/>
    <col min="9222" max="9222" width="15.5703125" style="61" customWidth="1"/>
    <col min="9223" max="9223" width="15.42578125" style="61" customWidth="1"/>
    <col min="9224" max="9224" width="16.42578125" style="61" bestFit="1" customWidth="1"/>
    <col min="9225" max="9225" width="23.42578125" style="61" customWidth="1"/>
    <col min="9226" max="9226" width="16.140625" style="61" bestFit="1" customWidth="1"/>
    <col min="9227" max="9233" width="0" style="61" hidden="1" customWidth="1"/>
    <col min="9234" max="9234" width="17.42578125" style="61" bestFit="1" customWidth="1"/>
    <col min="9235" max="9473" width="11.42578125" style="61"/>
    <col min="9474" max="9474" width="6" style="61" customWidth="1"/>
    <col min="9475" max="9475" width="49.5703125" style="61" customWidth="1"/>
    <col min="9476" max="9476" width="9.42578125" style="61" customWidth="1"/>
    <col min="9477" max="9477" width="11.5703125" style="61" bestFit="1" customWidth="1"/>
    <col min="9478" max="9478" width="15.5703125" style="61" customWidth="1"/>
    <col min="9479" max="9479" width="15.42578125" style="61" customWidth="1"/>
    <col min="9480" max="9480" width="16.42578125" style="61" bestFit="1" customWidth="1"/>
    <col min="9481" max="9481" width="23.42578125" style="61" customWidth="1"/>
    <col min="9482" max="9482" width="16.140625" style="61" bestFit="1" customWidth="1"/>
    <col min="9483" max="9489" width="0" style="61" hidden="1" customWidth="1"/>
    <col min="9490" max="9490" width="17.42578125" style="61" bestFit="1" customWidth="1"/>
    <col min="9491" max="9729" width="11.42578125" style="61"/>
    <col min="9730" max="9730" width="6" style="61" customWidth="1"/>
    <col min="9731" max="9731" width="49.5703125" style="61" customWidth="1"/>
    <col min="9732" max="9732" width="9.42578125" style="61" customWidth="1"/>
    <col min="9733" max="9733" width="11.5703125" style="61" bestFit="1" customWidth="1"/>
    <col min="9734" max="9734" width="15.5703125" style="61" customWidth="1"/>
    <col min="9735" max="9735" width="15.42578125" style="61" customWidth="1"/>
    <col min="9736" max="9736" width="16.42578125" style="61" bestFit="1" customWidth="1"/>
    <col min="9737" max="9737" width="23.42578125" style="61" customWidth="1"/>
    <col min="9738" max="9738" width="16.140625" style="61" bestFit="1" customWidth="1"/>
    <col min="9739" max="9745" width="0" style="61" hidden="1" customWidth="1"/>
    <col min="9746" max="9746" width="17.42578125" style="61" bestFit="1" customWidth="1"/>
    <col min="9747" max="9985" width="11.42578125" style="61"/>
    <col min="9986" max="9986" width="6" style="61" customWidth="1"/>
    <col min="9987" max="9987" width="49.5703125" style="61" customWidth="1"/>
    <col min="9988" max="9988" width="9.42578125" style="61" customWidth="1"/>
    <col min="9989" max="9989" width="11.5703125" style="61" bestFit="1" customWidth="1"/>
    <col min="9990" max="9990" width="15.5703125" style="61" customWidth="1"/>
    <col min="9991" max="9991" width="15.42578125" style="61" customWidth="1"/>
    <col min="9992" max="9992" width="16.42578125" style="61" bestFit="1" customWidth="1"/>
    <col min="9993" max="9993" width="23.42578125" style="61" customWidth="1"/>
    <col min="9994" max="9994" width="16.140625" style="61" bestFit="1" customWidth="1"/>
    <col min="9995" max="10001" width="0" style="61" hidden="1" customWidth="1"/>
    <col min="10002" max="10002" width="17.42578125" style="61" bestFit="1" customWidth="1"/>
    <col min="10003" max="10241" width="11.42578125" style="61"/>
    <col min="10242" max="10242" width="6" style="61" customWidth="1"/>
    <col min="10243" max="10243" width="49.5703125" style="61" customWidth="1"/>
    <col min="10244" max="10244" width="9.42578125" style="61" customWidth="1"/>
    <col min="10245" max="10245" width="11.5703125" style="61" bestFit="1" customWidth="1"/>
    <col min="10246" max="10246" width="15.5703125" style="61" customWidth="1"/>
    <col min="10247" max="10247" width="15.42578125" style="61" customWidth="1"/>
    <col min="10248" max="10248" width="16.42578125" style="61" bestFit="1" customWidth="1"/>
    <col min="10249" max="10249" width="23.42578125" style="61" customWidth="1"/>
    <col min="10250" max="10250" width="16.140625" style="61" bestFit="1" customWidth="1"/>
    <col min="10251" max="10257" width="0" style="61" hidden="1" customWidth="1"/>
    <col min="10258" max="10258" width="17.42578125" style="61" bestFit="1" customWidth="1"/>
    <col min="10259" max="10497" width="11.42578125" style="61"/>
    <col min="10498" max="10498" width="6" style="61" customWidth="1"/>
    <col min="10499" max="10499" width="49.5703125" style="61" customWidth="1"/>
    <col min="10500" max="10500" width="9.42578125" style="61" customWidth="1"/>
    <col min="10501" max="10501" width="11.5703125" style="61" bestFit="1" customWidth="1"/>
    <col min="10502" max="10502" width="15.5703125" style="61" customWidth="1"/>
    <col min="10503" max="10503" width="15.42578125" style="61" customWidth="1"/>
    <col min="10504" max="10504" width="16.42578125" style="61" bestFit="1" customWidth="1"/>
    <col min="10505" max="10505" width="23.42578125" style="61" customWidth="1"/>
    <col min="10506" max="10506" width="16.140625" style="61" bestFit="1" customWidth="1"/>
    <col min="10507" max="10513" width="0" style="61" hidden="1" customWidth="1"/>
    <col min="10514" max="10514" width="17.42578125" style="61" bestFit="1" customWidth="1"/>
    <col min="10515" max="10753" width="11.42578125" style="61"/>
    <col min="10754" max="10754" width="6" style="61" customWidth="1"/>
    <col min="10755" max="10755" width="49.5703125" style="61" customWidth="1"/>
    <col min="10756" max="10756" width="9.42578125" style="61" customWidth="1"/>
    <col min="10757" max="10757" width="11.5703125" style="61" bestFit="1" customWidth="1"/>
    <col min="10758" max="10758" width="15.5703125" style="61" customWidth="1"/>
    <col min="10759" max="10759" width="15.42578125" style="61" customWidth="1"/>
    <col min="10760" max="10760" width="16.42578125" style="61" bestFit="1" customWidth="1"/>
    <col min="10761" max="10761" width="23.42578125" style="61" customWidth="1"/>
    <col min="10762" max="10762" width="16.140625" style="61" bestFit="1" customWidth="1"/>
    <col min="10763" max="10769" width="0" style="61" hidden="1" customWidth="1"/>
    <col min="10770" max="10770" width="17.42578125" style="61" bestFit="1" customWidth="1"/>
    <col min="10771" max="11009" width="11.42578125" style="61"/>
    <col min="11010" max="11010" width="6" style="61" customWidth="1"/>
    <col min="11011" max="11011" width="49.5703125" style="61" customWidth="1"/>
    <col min="11012" max="11012" width="9.42578125" style="61" customWidth="1"/>
    <col min="11013" max="11013" width="11.5703125" style="61" bestFit="1" customWidth="1"/>
    <col min="11014" max="11014" width="15.5703125" style="61" customWidth="1"/>
    <col min="11015" max="11015" width="15.42578125" style="61" customWidth="1"/>
    <col min="11016" max="11016" width="16.42578125" style="61" bestFit="1" customWidth="1"/>
    <col min="11017" max="11017" width="23.42578125" style="61" customWidth="1"/>
    <col min="11018" max="11018" width="16.140625" style="61" bestFit="1" customWidth="1"/>
    <col min="11019" max="11025" width="0" style="61" hidden="1" customWidth="1"/>
    <col min="11026" max="11026" width="17.42578125" style="61" bestFit="1" customWidth="1"/>
    <col min="11027" max="11265" width="11.42578125" style="61"/>
    <col min="11266" max="11266" width="6" style="61" customWidth="1"/>
    <col min="11267" max="11267" width="49.5703125" style="61" customWidth="1"/>
    <col min="11268" max="11268" width="9.42578125" style="61" customWidth="1"/>
    <col min="11269" max="11269" width="11.5703125" style="61" bestFit="1" customWidth="1"/>
    <col min="11270" max="11270" width="15.5703125" style="61" customWidth="1"/>
    <col min="11271" max="11271" width="15.42578125" style="61" customWidth="1"/>
    <col min="11272" max="11272" width="16.42578125" style="61" bestFit="1" customWidth="1"/>
    <col min="11273" max="11273" width="23.42578125" style="61" customWidth="1"/>
    <col min="11274" max="11274" width="16.140625" style="61" bestFit="1" customWidth="1"/>
    <col min="11275" max="11281" width="0" style="61" hidden="1" customWidth="1"/>
    <col min="11282" max="11282" width="17.42578125" style="61" bestFit="1" customWidth="1"/>
    <col min="11283" max="11521" width="11.42578125" style="61"/>
    <col min="11522" max="11522" width="6" style="61" customWidth="1"/>
    <col min="11523" max="11523" width="49.5703125" style="61" customWidth="1"/>
    <col min="11524" max="11524" width="9.42578125" style="61" customWidth="1"/>
    <col min="11525" max="11525" width="11.5703125" style="61" bestFit="1" customWidth="1"/>
    <col min="11526" max="11526" width="15.5703125" style="61" customWidth="1"/>
    <col min="11527" max="11527" width="15.42578125" style="61" customWidth="1"/>
    <col min="11528" max="11528" width="16.42578125" style="61" bestFit="1" customWidth="1"/>
    <col min="11529" max="11529" width="23.42578125" style="61" customWidth="1"/>
    <col min="11530" max="11530" width="16.140625" style="61" bestFit="1" customWidth="1"/>
    <col min="11531" max="11537" width="0" style="61" hidden="1" customWidth="1"/>
    <col min="11538" max="11538" width="17.42578125" style="61" bestFit="1" customWidth="1"/>
    <col min="11539" max="11777" width="11.42578125" style="61"/>
    <col min="11778" max="11778" width="6" style="61" customWidth="1"/>
    <col min="11779" max="11779" width="49.5703125" style="61" customWidth="1"/>
    <col min="11780" max="11780" width="9.42578125" style="61" customWidth="1"/>
    <col min="11781" max="11781" width="11.5703125" style="61" bestFit="1" customWidth="1"/>
    <col min="11782" max="11782" width="15.5703125" style="61" customWidth="1"/>
    <col min="11783" max="11783" width="15.42578125" style="61" customWidth="1"/>
    <col min="11784" max="11784" width="16.42578125" style="61" bestFit="1" customWidth="1"/>
    <col min="11785" max="11785" width="23.42578125" style="61" customWidth="1"/>
    <col min="11786" max="11786" width="16.140625" style="61" bestFit="1" customWidth="1"/>
    <col min="11787" max="11793" width="0" style="61" hidden="1" customWidth="1"/>
    <col min="11794" max="11794" width="17.42578125" style="61" bestFit="1" customWidth="1"/>
    <col min="11795" max="12033" width="11.42578125" style="61"/>
    <col min="12034" max="12034" width="6" style="61" customWidth="1"/>
    <col min="12035" max="12035" width="49.5703125" style="61" customWidth="1"/>
    <col min="12036" max="12036" width="9.42578125" style="61" customWidth="1"/>
    <col min="12037" max="12037" width="11.5703125" style="61" bestFit="1" customWidth="1"/>
    <col min="12038" max="12038" width="15.5703125" style="61" customWidth="1"/>
    <col min="12039" max="12039" width="15.42578125" style="61" customWidth="1"/>
    <col min="12040" max="12040" width="16.42578125" style="61" bestFit="1" customWidth="1"/>
    <col min="12041" max="12041" width="23.42578125" style="61" customWidth="1"/>
    <col min="12042" max="12042" width="16.140625" style="61" bestFit="1" customWidth="1"/>
    <col min="12043" max="12049" width="0" style="61" hidden="1" customWidth="1"/>
    <col min="12050" max="12050" width="17.42578125" style="61" bestFit="1" customWidth="1"/>
    <col min="12051" max="12289" width="11.42578125" style="61"/>
    <col min="12290" max="12290" width="6" style="61" customWidth="1"/>
    <col min="12291" max="12291" width="49.5703125" style="61" customWidth="1"/>
    <col min="12292" max="12292" width="9.42578125" style="61" customWidth="1"/>
    <col min="12293" max="12293" width="11.5703125" style="61" bestFit="1" customWidth="1"/>
    <col min="12294" max="12294" width="15.5703125" style="61" customWidth="1"/>
    <col min="12295" max="12295" width="15.42578125" style="61" customWidth="1"/>
    <col min="12296" max="12296" width="16.42578125" style="61" bestFit="1" customWidth="1"/>
    <col min="12297" max="12297" width="23.42578125" style="61" customWidth="1"/>
    <col min="12298" max="12298" width="16.140625" style="61" bestFit="1" customWidth="1"/>
    <col min="12299" max="12305" width="0" style="61" hidden="1" customWidth="1"/>
    <col min="12306" max="12306" width="17.42578125" style="61" bestFit="1" customWidth="1"/>
    <col min="12307" max="12545" width="11.42578125" style="61"/>
    <col min="12546" max="12546" width="6" style="61" customWidth="1"/>
    <col min="12547" max="12547" width="49.5703125" style="61" customWidth="1"/>
    <col min="12548" max="12548" width="9.42578125" style="61" customWidth="1"/>
    <col min="12549" max="12549" width="11.5703125" style="61" bestFit="1" customWidth="1"/>
    <col min="12550" max="12550" width="15.5703125" style="61" customWidth="1"/>
    <col min="12551" max="12551" width="15.42578125" style="61" customWidth="1"/>
    <col min="12552" max="12552" width="16.42578125" style="61" bestFit="1" customWidth="1"/>
    <col min="12553" max="12553" width="23.42578125" style="61" customWidth="1"/>
    <col min="12554" max="12554" width="16.140625" style="61" bestFit="1" customWidth="1"/>
    <col min="12555" max="12561" width="0" style="61" hidden="1" customWidth="1"/>
    <col min="12562" max="12562" width="17.42578125" style="61" bestFit="1" customWidth="1"/>
    <col min="12563" max="12801" width="11.42578125" style="61"/>
    <col min="12802" max="12802" width="6" style="61" customWidth="1"/>
    <col min="12803" max="12803" width="49.5703125" style="61" customWidth="1"/>
    <col min="12804" max="12804" width="9.42578125" style="61" customWidth="1"/>
    <col min="12805" max="12805" width="11.5703125" style="61" bestFit="1" customWidth="1"/>
    <col min="12806" max="12806" width="15.5703125" style="61" customWidth="1"/>
    <col min="12807" max="12807" width="15.42578125" style="61" customWidth="1"/>
    <col min="12808" max="12808" width="16.42578125" style="61" bestFit="1" customWidth="1"/>
    <col min="12809" max="12809" width="23.42578125" style="61" customWidth="1"/>
    <col min="12810" max="12810" width="16.140625" style="61" bestFit="1" customWidth="1"/>
    <col min="12811" max="12817" width="0" style="61" hidden="1" customWidth="1"/>
    <col min="12818" max="12818" width="17.42578125" style="61" bestFit="1" customWidth="1"/>
    <col min="12819" max="13057" width="11.42578125" style="61"/>
    <col min="13058" max="13058" width="6" style="61" customWidth="1"/>
    <col min="13059" max="13059" width="49.5703125" style="61" customWidth="1"/>
    <col min="13060" max="13060" width="9.42578125" style="61" customWidth="1"/>
    <col min="13061" max="13061" width="11.5703125" style="61" bestFit="1" customWidth="1"/>
    <col min="13062" max="13062" width="15.5703125" style="61" customWidth="1"/>
    <col min="13063" max="13063" width="15.42578125" style="61" customWidth="1"/>
    <col min="13064" max="13064" width="16.42578125" style="61" bestFit="1" customWidth="1"/>
    <col min="13065" max="13065" width="23.42578125" style="61" customWidth="1"/>
    <col min="13066" max="13066" width="16.140625" style="61" bestFit="1" customWidth="1"/>
    <col min="13067" max="13073" width="0" style="61" hidden="1" customWidth="1"/>
    <col min="13074" max="13074" width="17.42578125" style="61" bestFit="1" customWidth="1"/>
    <col min="13075" max="13313" width="11.42578125" style="61"/>
    <col min="13314" max="13314" width="6" style="61" customWidth="1"/>
    <col min="13315" max="13315" width="49.5703125" style="61" customWidth="1"/>
    <col min="13316" max="13316" width="9.42578125" style="61" customWidth="1"/>
    <col min="13317" max="13317" width="11.5703125" style="61" bestFit="1" customWidth="1"/>
    <col min="13318" max="13318" width="15.5703125" style="61" customWidth="1"/>
    <col min="13319" max="13319" width="15.42578125" style="61" customWidth="1"/>
    <col min="13320" max="13320" width="16.42578125" style="61" bestFit="1" customWidth="1"/>
    <col min="13321" max="13321" width="23.42578125" style="61" customWidth="1"/>
    <col min="13322" max="13322" width="16.140625" style="61" bestFit="1" customWidth="1"/>
    <col min="13323" max="13329" width="0" style="61" hidden="1" customWidth="1"/>
    <col min="13330" max="13330" width="17.42578125" style="61" bestFit="1" customWidth="1"/>
    <col min="13331" max="13569" width="11.42578125" style="61"/>
    <col min="13570" max="13570" width="6" style="61" customWidth="1"/>
    <col min="13571" max="13571" width="49.5703125" style="61" customWidth="1"/>
    <col min="13572" max="13572" width="9.42578125" style="61" customWidth="1"/>
    <col min="13573" max="13573" width="11.5703125" style="61" bestFit="1" customWidth="1"/>
    <col min="13574" max="13574" width="15.5703125" style="61" customWidth="1"/>
    <col min="13575" max="13575" width="15.42578125" style="61" customWidth="1"/>
    <col min="13576" max="13576" width="16.42578125" style="61" bestFit="1" customWidth="1"/>
    <col min="13577" max="13577" width="23.42578125" style="61" customWidth="1"/>
    <col min="13578" max="13578" width="16.140625" style="61" bestFit="1" customWidth="1"/>
    <col min="13579" max="13585" width="0" style="61" hidden="1" customWidth="1"/>
    <col min="13586" max="13586" width="17.42578125" style="61" bestFit="1" customWidth="1"/>
    <col min="13587" max="13825" width="11.42578125" style="61"/>
    <col min="13826" max="13826" width="6" style="61" customWidth="1"/>
    <col min="13827" max="13827" width="49.5703125" style="61" customWidth="1"/>
    <col min="13828" max="13828" width="9.42578125" style="61" customWidth="1"/>
    <col min="13829" max="13829" width="11.5703125" style="61" bestFit="1" customWidth="1"/>
    <col min="13830" max="13830" width="15.5703125" style="61" customWidth="1"/>
    <col min="13831" max="13831" width="15.42578125" style="61" customWidth="1"/>
    <col min="13832" max="13832" width="16.42578125" style="61" bestFit="1" customWidth="1"/>
    <col min="13833" max="13833" width="23.42578125" style="61" customWidth="1"/>
    <col min="13834" max="13834" width="16.140625" style="61" bestFit="1" customWidth="1"/>
    <col min="13835" max="13841" width="0" style="61" hidden="1" customWidth="1"/>
    <col min="13842" max="13842" width="17.42578125" style="61" bestFit="1" customWidth="1"/>
    <col min="13843" max="14081" width="11.42578125" style="61"/>
    <col min="14082" max="14082" width="6" style="61" customWidth="1"/>
    <col min="14083" max="14083" width="49.5703125" style="61" customWidth="1"/>
    <col min="14084" max="14084" width="9.42578125" style="61" customWidth="1"/>
    <col min="14085" max="14085" width="11.5703125" style="61" bestFit="1" customWidth="1"/>
    <col min="14086" max="14086" width="15.5703125" style="61" customWidth="1"/>
    <col min="14087" max="14087" width="15.42578125" style="61" customWidth="1"/>
    <col min="14088" max="14088" width="16.42578125" style="61" bestFit="1" customWidth="1"/>
    <col min="14089" max="14089" width="23.42578125" style="61" customWidth="1"/>
    <col min="14090" max="14090" width="16.140625" style="61" bestFit="1" customWidth="1"/>
    <col min="14091" max="14097" width="0" style="61" hidden="1" customWidth="1"/>
    <col min="14098" max="14098" width="17.42578125" style="61" bestFit="1" customWidth="1"/>
    <col min="14099" max="14337" width="11.42578125" style="61"/>
    <col min="14338" max="14338" width="6" style="61" customWidth="1"/>
    <col min="14339" max="14339" width="49.5703125" style="61" customWidth="1"/>
    <col min="14340" max="14340" width="9.42578125" style="61" customWidth="1"/>
    <col min="14341" max="14341" width="11.5703125" style="61" bestFit="1" customWidth="1"/>
    <col min="14342" max="14342" width="15.5703125" style="61" customWidth="1"/>
    <col min="14343" max="14343" width="15.42578125" style="61" customWidth="1"/>
    <col min="14344" max="14344" width="16.42578125" style="61" bestFit="1" customWidth="1"/>
    <col min="14345" max="14345" width="23.42578125" style="61" customWidth="1"/>
    <col min="14346" max="14346" width="16.140625" style="61" bestFit="1" customWidth="1"/>
    <col min="14347" max="14353" width="0" style="61" hidden="1" customWidth="1"/>
    <col min="14354" max="14354" width="17.42578125" style="61" bestFit="1" customWidth="1"/>
    <col min="14355" max="14593" width="11.42578125" style="61"/>
    <col min="14594" max="14594" width="6" style="61" customWidth="1"/>
    <col min="14595" max="14595" width="49.5703125" style="61" customWidth="1"/>
    <col min="14596" max="14596" width="9.42578125" style="61" customWidth="1"/>
    <col min="14597" max="14597" width="11.5703125" style="61" bestFit="1" customWidth="1"/>
    <col min="14598" max="14598" width="15.5703125" style="61" customWidth="1"/>
    <col min="14599" max="14599" width="15.42578125" style="61" customWidth="1"/>
    <col min="14600" max="14600" width="16.42578125" style="61" bestFit="1" customWidth="1"/>
    <col min="14601" max="14601" width="23.42578125" style="61" customWidth="1"/>
    <col min="14602" max="14602" width="16.140625" style="61" bestFit="1" customWidth="1"/>
    <col min="14603" max="14609" width="0" style="61" hidden="1" customWidth="1"/>
    <col min="14610" max="14610" width="17.42578125" style="61" bestFit="1" customWidth="1"/>
    <col min="14611" max="14849" width="11.42578125" style="61"/>
    <col min="14850" max="14850" width="6" style="61" customWidth="1"/>
    <col min="14851" max="14851" width="49.5703125" style="61" customWidth="1"/>
    <col min="14852" max="14852" width="9.42578125" style="61" customWidth="1"/>
    <col min="14853" max="14853" width="11.5703125" style="61" bestFit="1" customWidth="1"/>
    <col min="14854" max="14854" width="15.5703125" style="61" customWidth="1"/>
    <col min="14855" max="14855" width="15.42578125" style="61" customWidth="1"/>
    <col min="14856" max="14856" width="16.42578125" style="61" bestFit="1" customWidth="1"/>
    <col min="14857" max="14857" width="23.42578125" style="61" customWidth="1"/>
    <col min="14858" max="14858" width="16.140625" style="61" bestFit="1" customWidth="1"/>
    <col min="14859" max="14865" width="0" style="61" hidden="1" customWidth="1"/>
    <col min="14866" max="14866" width="17.42578125" style="61" bestFit="1" customWidth="1"/>
    <col min="14867" max="15105" width="11.42578125" style="61"/>
    <col min="15106" max="15106" width="6" style="61" customWidth="1"/>
    <col min="15107" max="15107" width="49.5703125" style="61" customWidth="1"/>
    <col min="15108" max="15108" width="9.42578125" style="61" customWidth="1"/>
    <col min="15109" max="15109" width="11.5703125" style="61" bestFit="1" customWidth="1"/>
    <col min="15110" max="15110" width="15.5703125" style="61" customWidth="1"/>
    <col min="15111" max="15111" width="15.42578125" style="61" customWidth="1"/>
    <col min="15112" max="15112" width="16.42578125" style="61" bestFit="1" customWidth="1"/>
    <col min="15113" max="15113" width="23.42578125" style="61" customWidth="1"/>
    <col min="15114" max="15114" width="16.140625" style="61" bestFit="1" customWidth="1"/>
    <col min="15115" max="15121" width="0" style="61" hidden="1" customWidth="1"/>
    <col min="15122" max="15122" width="17.42578125" style="61" bestFit="1" customWidth="1"/>
    <col min="15123" max="15361" width="11.42578125" style="61"/>
    <col min="15362" max="15362" width="6" style="61" customWidth="1"/>
    <col min="15363" max="15363" width="49.5703125" style="61" customWidth="1"/>
    <col min="15364" max="15364" width="9.42578125" style="61" customWidth="1"/>
    <col min="15365" max="15365" width="11.5703125" style="61" bestFit="1" customWidth="1"/>
    <col min="15366" max="15366" width="15.5703125" style="61" customWidth="1"/>
    <col min="15367" max="15367" width="15.42578125" style="61" customWidth="1"/>
    <col min="15368" max="15368" width="16.42578125" style="61" bestFit="1" customWidth="1"/>
    <col min="15369" max="15369" width="23.42578125" style="61" customWidth="1"/>
    <col min="15370" max="15370" width="16.140625" style="61" bestFit="1" customWidth="1"/>
    <col min="15371" max="15377" width="0" style="61" hidden="1" customWidth="1"/>
    <col min="15378" max="15378" width="17.42578125" style="61" bestFit="1" customWidth="1"/>
    <col min="15379" max="15617" width="11.42578125" style="61"/>
    <col min="15618" max="15618" width="6" style="61" customWidth="1"/>
    <col min="15619" max="15619" width="49.5703125" style="61" customWidth="1"/>
    <col min="15620" max="15620" width="9.42578125" style="61" customWidth="1"/>
    <col min="15621" max="15621" width="11.5703125" style="61" bestFit="1" customWidth="1"/>
    <col min="15622" max="15622" width="15.5703125" style="61" customWidth="1"/>
    <col min="15623" max="15623" width="15.42578125" style="61" customWidth="1"/>
    <col min="15624" max="15624" width="16.42578125" style="61" bestFit="1" customWidth="1"/>
    <col min="15625" max="15625" width="23.42578125" style="61" customWidth="1"/>
    <col min="15626" max="15626" width="16.140625" style="61" bestFit="1" customWidth="1"/>
    <col min="15627" max="15633" width="0" style="61" hidden="1" customWidth="1"/>
    <col min="15634" max="15634" width="17.42578125" style="61" bestFit="1" customWidth="1"/>
    <col min="15635" max="15873" width="11.42578125" style="61"/>
    <col min="15874" max="15874" width="6" style="61" customWidth="1"/>
    <col min="15875" max="15875" width="49.5703125" style="61" customWidth="1"/>
    <col min="15876" max="15876" width="9.42578125" style="61" customWidth="1"/>
    <col min="15877" max="15877" width="11.5703125" style="61" bestFit="1" customWidth="1"/>
    <col min="15878" max="15878" width="15.5703125" style="61" customWidth="1"/>
    <col min="15879" max="15879" width="15.42578125" style="61" customWidth="1"/>
    <col min="15880" max="15880" width="16.42578125" style="61" bestFit="1" customWidth="1"/>
    <col min="15881" max="15881" width="23.42578125" style="61" customWidth="1"/>
    <col min="15882" max="15882" width="16.140625" style="61" bestFit="1" customWidth="1"/>
    <col min="15883" max="15889" width="0" style="61" hidden="1" customWidth="1"/>
    <col min="15890" max="15890" width="17.42578125" style="61" bestFit="1" customWidth="1"/>
    <col min="15891" max="16129" width="11.42578125" style="61"/>
    <col min="16130" max="16130" width="6" style="61" customWidth="1"/>
    <col min="16131" max="16131" width="49.5703125" style="61" customWidth="1"/>
    <col min="16132" max="16132" width="9.42578125" style="61" customWidth="1"/>
    <col min="16133" max="16133" width="11.5703125" style="61" bestFit="1" customWidth="1"/>
    <col min="16134" max="16134" width="15.5703125" style="61" customWidth="1"/>
    <col min="16135" max="16135" width="15.42578125" style="61" customWidth="1"/>
    <col min="16136" max="16136" width="16.42578125" style="61" bestFit="1" customWidth="1"/>
    <col min="16137" max="16137" width="23.42578125" style="61" customWidth="1"/>
    <col min="16138" max="16138" width="16.140625" style="61" bestFit="1" customWidth="1"/>
    <col min="16139" max="16145" width="0" style="61" hidden="1" customWidth="1"/>
    <col min="16146" max="16146" width="17.42578125" style="61" bestFit="1" customWidth="1"/>
    <col min="16147" max="16384" width="11.42578125" style="61"/>
  </cols>
  <sheetData>
    <row r="2" spans="1:18" ht="63" customHeight="1" x14ac:dyDescent="0.2">
      <c r="B2" s="379" t="s">
        <v>43</v>
      </c>
      <c r="C2" s="379"/>
      <c r="D2" s="380"/>
      <c r="E2" s="380"/>
      <c r="F2" s="380"/>
      <c r="G2" s="380"/>
      <c r="H2" s="380"/>
      <c r="I2" s="380"/>
      <c r="L2" s="106"/>
    </row>
    <row r="3" spans="1:18" ht="22.5" customHeight="1" x14ac:dyDescent="0.2">
      <c r="B3" s="380" t="s">
        <v>105</v>
      </c>
      <c r="C3" s="380"/>
      <c r="D3" s="380"/>
      <c r="E3" s="380"/>
      <c r="F3" s="380"/>
      <c r="G3" s="380"/>
      <c r="H3" s="380"/>
      <c r="I3" s="380"/>
      <c r="L3" s="106"/>
    </row>
    <row r="4" spans="1:18" ht="31.5" customHeight="1" x14ac:dyDescent="0.2">
      <c r="A4" s="141"/>
      <c r="B4" s="381" t="s">
        <v>118</v>
      </c>
      <c r="C4" s="381"/>
      <c r="D4" s="381"/>
      <c r="E4" s="381"/>
      <c r="F4" s="381"/>
      <c r="G4" s="381"/>
      <c r="H4" s="381"/>
      <c r="I4" s="381"/>
      <c r="L4" s="106"/>
    </row>
    <row r="5" spans="1:18" ht="21.75" customHeight="1" x14ac:dyDescent="0.25">
      <c r="A5" s="141"/>
      <c r="B5" s="382" t="s">
        <v>82</v>
      </c>
      <c r="C5" s="382"/>
      <c r="D5" s="382"/>
      <c r="E5" s="382"/>
      <c r="F5" s="382"/>
      <c r="G5" s="382"/>
      <c r="H5" s="382"/>
      <c r="I5" s="382"/>
      <c r="K5" s="65"/>
      <c r="L5" s="119"/>
      <c r="R5" s="63"/>
    </row>
    <row r="6" spans="1:18" ht="18" customHeight="1" x14ac:dyDescent="0.25">
      <c r="A6" s="141"/>
      <c r="B6" s="383" t="s">
        <v>41</v>
      </c>
      <c r="C6" s="384" t="s">
        <v>91</v>
      </c>
      <c r="D6" s="384"/>
      <c r="E6" s="384"/>
      <c r="F6" s="384"/>
      <c r="G6" s="385">
        <v>6</v>
      </c>
      <c r="H6" s="385"/>
      <c r="I6" s="3"/>
      <c r="J6" s="120"/>
      <c r="K6" s="65"/>
      <c r="L6" s="119"/>
      <c r="R6" s="63"/>
    </row>
    <row r="7" spans="1:18" ht="18" customHeight="1" x14ac:dyDescent="0.25">
      <c r="A7" s="141"/>
      <c r="B7" s="383"/>
      <c r="C7" s="384" t="s">
        <v>42</v>
      </c>
      <c r="D7" s="384"/>
      <c r="E7" s="384"/>
      <c r="F7" s="384"/>
      <c r="G7" s="386">
        <f>+F11</f>
        <v>1578999180</v>
      </c>
      <c r="H7" s="386"/>
      <c r="I7" s="3"/>
      <c r="J7" s="120"/>
      <c r="K7" s="65"/>
      <c r="L7" s="119"/>
      <c r="R7" s="63"/>
    </row>
    <row r="8" spans="1:18" ht="18" customHeight="1" x14ac:dyDescent="0.25">
      <c r="A8" s="141"/>
      <c r="B8" s="383"/>
      <c r="C8" s="384" t="s">
        <v>103</v>
      </c>
      <c r="D8" s="384"/>
      <c r="E8" s="384"/>
      <c r="F8" s="384"/>
      <c r="G8" s="386">
        <f>+G7/G6</f>
        <v>263166530</v>
      </c>
      <c r="H8" s="386"/>
      <c r="I8" s="3"/>
      <c r="J8" s="121"/>
      <c r="K8" s="65"/>
      <c r="L8" s="119"/>
      <c r="R8" s="63"/>
    </row>
    <row r="9" spans="1:18" ht="13.5" customHeight="1" x14ac:dyDescent="0.25">
      <c r="A9" s="141"/>
      <c r="B9" s="141"/>
      <c r="C9" s="384" t="s">
        <v>114</v>
      </c>
      <c r="D9" s="384"/>
      <c r="E9" s="384"/>
      <c r="F9" s="384"/>
      <c r="G9" s="386">
        <f>+ROUND(G7*0.2,0)</f>
        <v>315799836</v>
      </c>
      <c r="H9" s="386"/>
      <c r="I9" s="141"/>
      <c r="K9" s="65"/>
      <c r="L9" s="119"/>
      <c r="R9" s="63"/>
    </row>
    <row r="10" spans="1:18" ht="23.25" customHeight="1" x14ac:dyDescent="0.25">
      <c r="A10" s="141"/>
      <c r="B10" s="22"/>
      <c r="C10" s="22"/>
      <c r="D10" s="389" t="s">
        <v>58</v>
      </c>
      <c r="E10" s="389"/>
      <c r="F10" s="136">
        <f>+G6</f>
        <v>6</v>
      </c>
      <c r="G10" s="390"/>
      <c r="H10" s="391"/>
      <c r="J10" s="114"/>
      <c r="K10" s="65"/>
      <c r="L10" s="119"/>
      <c r="R10" s="63"/>
    </row>
    <row r="11" spans="1:18" ht="15" customHeight="1" x14ac:dyDescent="0.25">
      <c r="B11" s="1"/>
      <c r="C11" s="1"/>
      <c r="D11" s="392" t="s">
        <v>119</v>
      </c>
      <c r="E11" s="392"/>
      <c r="F11" s="137">
        <f>+F12+F17</f>
        <v>1578999180</v>
      </c>
      <c r="G11" s="393"/>
      <c r="H11" s="394"/>
      <c r="K11" s="65"/>
      <c r="L11" s="119"/>
      <c r="R11" s="63"/>
    </row>
    <row r="12" spans="1:18" ht="15" customHeight="1" x14ac:dyDescent="0.25">
      <c r="B12" s="23"/>
      <c r="C12" s="23"/>
      <c r="D12" s="392" t="s">
        <v>120</v>
      </c>
      <c r="E12" s="392"/>
      <c r="F12" s="138">
        <v>1144700000</v>
      </c>
      <c r="G12" s="393"/>
      <c r="H12" s="394"/>
      <c r="J12" s="73"/>
      <c r="K12" s="122"/>
      <c r="L12" s="123"/>
      <c r="R12" s="63"/>
    </row>
    <row r="13" spans="1:18" ht="15" customHeight="1" x14ac:dyDescent="0.25">
      <c r="B13" s="23"/>
      <c r="C13" s="23"/>
      <c r="D13" s="387" t="s">
        <v>121</v>
      </c>
      <c r="E13" s="388"/>
      <c r="F13" s="42" t="e">
        <f>+F101</f>
        <v>#REF!</v>
      </c>
      <c r="G13" s="142"/>
      <c r="H13" s="60"/>
      <c r="J13" s="73"/>
      <c r="K13" s="122"/>
      <c r="L13" s="123"/>
      <c r="R13" s="63"/>
    </row>
    <row r="14" spans="1:18" ht="15" customHeight="1" x14ac:dyDescent="0.25">
      <c r="B14" s="23"/>
      <c r="C14" s="23"/>
      <c r="D14" s="387" t="s">
        <v>122</v>
      </c>
      <c r="E14" s="388"/>
      <c r="F14" s="42">
        <f>+F103</f>
        <v>0.01</v>
      </c>
      <c r="G14" s="142"/>
      <c r="H14" s="60"/>
      <c r="J14" s="73"/>
      <c r="K14" s="122"/>
      <c r="L14" s="123"/>
      <c r="R14" s="63"/>
    </row>
    <row r="15" spans="1:18" ht="15" customHeight="1" x14ac:dyDescent="0.25">
      <c r="B15" s="23"/>
      <c r="C15" s="23"/>
      <c r="D15" s="387" t="s">
        <v>123</v>
      </c>
      <c r="E15" s="388"/>
      <c r="F15" s="42">
        <f>+F105</f>
        <v>0.05</v>
      </c>
      <c r="G15" s="142"/>
      <c r="H15" s="60"/>
      <c r="J15" s="73"/>
      <c r="K15" s="122"/>
      <c r="L15" s="123"/>
      <c r="R15" s="63"/>
    </row>
    <row r="16" spans="1:18" ht="15" customHeight="1" x14ac:dyDescent="0.25">
      <c r="B16" s="23"/>
      <c r="C16" s="23"/>
      <c r="D16" s="387" t="s">
        <v>124</v>
      </c>
      <c r="E16" s="388"/>
      <c r="F16" s="139" t="e">
        <f>SUM(F13:F15)</f>
        <v>#REF!</v>
      </c>
      <c r="G16" s="142"/>
      <c r="H16" s="60"/>
      <c r="J16" s="73"/>
      <c r="K16" s="122"/>
      <c r="L16" s="123"/>
      <c r="R16" s="63"/>
    </row>
    <row r="17" spans="1:25" ht="15" customHeight="1" x14ac:dyDescent="0.25">
      <c r="D17" s="392" t="s">
        <v>57</v>
      </c>
      <c r="E17" s="392"/>
      <c r="F17" s="93">
        <v>434299180</v>
      </c>
      <c r="G17" s="399"/>
      <c r="H17" s="394"/>
      <c r="K17" s="124"/>
      <c r="L17" s="125"/>
      <c r="M17" s="126"/>
      <c r="N17" s="92"/>
      <c r="R17" s="63"/>
    </row>
    <row r="18" spans="1:25" ht="15" customHeight="1" x14ac:dyDescent="0.25">
      <c r="I18" s="24"/>
      <c r="J18" s="65"/>
      <c r="K18" s="124"/>
      <c r="L18" s="127"/>
      <c r="R18" s="63"/>
    </row>
    <row r="19" spans="1:25" s="27" customFormat="1" ht="23.25" thickBot="1" x14ac:dyDescent="0.3">
      <c r="A19" s="26"/>
      <c r="B19" s="57" t="s">
        <v>0</v>
      </c>
      <c r="C19" s="57" t="s">
        <v>1</v>
      </c>
      <c r="D19" s="57" t="s">
        <v>2</v>
      </c>
      <c r="E19" s="58" t="s">
        <v>65</v>
      </c>
      <c r="F19" s="58" t="s">
        <v>64</v>
      </c>
      <c r="G19" s="111" t="s">
        <v>110</v>
      </c>
      <c r="H19" s="111" t="s">
        <v>108</v>
      </c>
      <c r="I19" s="116" t="s">
        <v>3</v>
      </c>
      <c r="K19" s="128"/>
      <c r="L19" s="129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31" customFormat="1" ht="12" thickBot="1" x14ac:dyDescent="0.3">
      <c r="A20" s="59"/>
      <c r="B20" s="29"/>
      <c r="C20" s="29"/>
      <c r="D20" s="29"/>
      <c r="E20" s="30"/>
      <c r="F20" s="30"/>
      <c r="G20" s="400" t="s">
        <v>109</v>
      </c>
      <c r="H20" s="401"/>
      <c r="I20" s="101"/>
      <c r="K20" s="130"/>
      <c r="L20" s="107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 x14ac:dyDescent="0.25">
      <c r="A21" s="33">
        <v>1</v>
      </c>
      <c r="B21" s="157" t="s">
        <v>127</v>
      </c>
      <c r="C21" s="84"/>
      <c r="D21" s="84"/>
      <c r="E21" s="38"/>
      <c r="F21" s="38"/>
      <c r="G21" s="112"/>
      <c r="H21" s="113">
        <v>1.02</v>
      </c>
      <c r="I21" s="117"/>
      <c r="K21" s="65"/>
      <c r="R21" s="63"/>
    </row>
    <row r="22" spans="1:25" ht="15" customHeight="1" x14ac:dyDescent="0.25">
      <c r="A22" s="67" t="s">
        <v>69</v>
      </c>
      <c r="B22" s="147" t="s">
        <v>84</v>
      </c>
      <c r="C22" s="85">
        <v>1</v>
      </c>
      <c r="D22" s="115">
        <v>0.5</v>
      </c>
      <c r="E22" s="6" t="e">
        <f>VLOOKUP($A22,#REF!,3,FALSE)</f>
        <v>#REF!</v>
      </c>
      <c r="F22" s="94">
        <v>1.3</v>
      </c>
      <c r="G22" s="95">
        <v>4</v>
      </c>
      <c r="H22" s="95">
        <v>2</v>
      </c>
      <c r="I22" s="118" t="e">
        <f>ROUND((C22*D22*E22*F22*G22)+(C22*D22*E22*F22*H22*$H$21),0)</f>
        <v>#REF!</v>
      </c>
      <c r="K22" s="131"/>
      <c r="R22" s="63"/>
    </row>
    <row r="23" spans="1:25" ht="15" customHeight="1" x14ac:dyDescent="0.25">
      <c r="A23" s="67" t="s">
        <v>70</v>
      </c>
      <c r="B23" s="147" t="s">
        <v>85</v>
      </c>
      <c r="C23" s="85">
        <v>1</v>
      </c>
      <c r="D23" s="115">
        <v>1</v>
      </c>
      <c r="E23" s="6" t="e">
        <f>VLOOKUP($A23,#REF!,3,FALSE)</f>
        <v>#REF!</v>
      </c>
      <c r="F23" s="96">
        <f>+$F$22</f>
        <v>1.3</v>
      </c>
      <c r="G23" s="95">
        <v>4</v>
      </c>
      <c r="H23" s="95">
        <v>2</v>
      </c>
      <c r="I23" s="118" t="e">
        <f t="shared" ref="I23:I34" si="0">ROUND((C23*D23*E23*F23*G23)+(C23*D23*E23*F23*H23*$H$21),0)</f>
        <v>#REF!</v>
      </c>
      <c r="K23" s="132"/>
      <c r="M23" s="133"/>
      <c r="R23" s="63"/>
    </row>
    <row r="24" spans="1:25" ht="15" customHeight="1" x14ac:dyDescent="0.25">
      <c r="A24" s="67" t="s">
        <v>70</v>
      </c>
      <c r="B24" s="147" t="s">
        <v>88</v>
      </c>
      <c r="C24" s="85">
        <v>1</v>
      </c>
      <c r="D24" s="115">
        <v>0.25</v>
      </c>
      <c r="E24" s="6" t="e">
        <f>VLOOKUP($A24,#REF!,3,FALSE)</f>
        <v>#REF!</v>
      </c>
      <c r="F24" s="96">
        <f t="shared" ref="F24:F34" si="1">+$F$22</f>
        <v>1.3</v>
      </c>
      <c r="G24" s="95">
        <v>4</v>
      </c>
      <c r="H24" s="95">
        <v>2</v>
      </c>
      <c r="I24" s="118" t="e">
        <f t="shared" si="0"/>
        <v>#REF!</v>
      </c>
      <c r="K24" s="132"/>
      <c r="M24" s="133"/>
      <c r="N24" s="133"/>
      <c r="R24" s="63"/>
    </row>
    <row r="25" spans="1:25" ht="15" customHeight="1" x14ac:dyDescent="0.25">
      <c r="A25" s="67" t="s">
        <v>70</v>
      </c>
      <c r="B25" s="147" t="s">
        <v>86</v>
      </c>
      <c r="C25" s="85">
        <v>1</v>
      </c>
      <c r="D25" s="115">
        <v>0.25</v>
      </c>
      <c r="E25" s="6" t="e">
        <f>VLOOKUP($A25,#REF!,3,FALSE)</f>
        <v>#REF!</v>
      </c>
      <c r="F25" s="96">
        <f t="shared" si="1"/>
        <v>1.3</v>
      </c>
      <c r="G25" s="95">
        <v>4</v>
      </c>
      <c r="H25" s="95">
        <v>2</v>
      </c>
      <c r="I25" s="118" t="e">
        <f t="shared" si="0"/>
        <v>#REF!</v>
      </c>
      <c r="K25" s="61"/>
      <c r="L25" s="132"/>
      <c r="M25" s="134"/>
      <c r="R25" s="63"/>
    </row>
    <row r="26" spans="1:25" ht="15" customHeight="1" x14ac:dyDescent="0.25">
      <c r="A26" s="67" t="s">
        <v>70</v>
      </c>
      <c r="B26" s="147" t="s">
        <v>93</v>
      </c>
      <c r="C26" s="85">
        <v>1</v>
      </c>
      <c r="D26" s="115">
        <v>1</v>
      </c>
      <c r="E26" s="6" t="e">
        <f>VLOOKUP($A26,#REF!,3,FALSE)</f>
        <v>#REF!</v>
      </c>
      <c r="F26" s="96">
        <f t="shared" si="1"/>
        <v>1.3</v>
      </c>
      <c r="G26" s="95">
        <v>4</v>
      </c>
      <c r="H26" s="95">
        <v>2</v>
      </c>
      <c r="I26" s="118" t="e">
        <f t="shared" si="0"/>
        <v>#REF!</v>
      </c>
      <c r="K26" s="135"/>
      <c r="R26" s="63"/>
    </row>
    <row r="27" spans="1:25" ht="15" customHeight="1" x14ac:dyDescent="0.25">
      <c r="A27" s="67" t="s">
        <v>70</v>
      </c>
      <c r="B27" s="147" t="s">
        <v>125</v>
      </c>
      <c r="C27" s="85">
        <v>1</v>
      </c>
      <c r="D27" s="115">
        <v>0.15</v>
      </c>
      <c r="E27" s="6" t="e">
        <f>VLOOKUP($A27,#REF!,3,FALSE)</f>
        <v>#REF!</v>
      </c>
      <c r="F27" s="96">
        <f t="shared" si="1"/>
        <v>1.3</v>
      </c>
      <c r="G27" s="95">
        <v>4</v>
      </c>
      <c r="H27" s="95">
        <v>2</v>
      </c>
      <c r="I27" s="118" t="e">
        <f t="shared" si="0"/>
        <v>#REF!</v>
      </c>
      <c r="K27" s="135"/>
      <c r="R27" s="63"/>
    </row>
    <row r="28" spans="1:25" ht="15" customHeight="1" x14ac:dyDescent="0.25">
      <c r="A28" s="67" t="s">
        <v>71</v>
      </c>
      <c r="B28" s="147" t="s">
        <v>115</v>
      </c>
      <c r="C28" s="86">
        <v>1</v>
      </c>
      <c r="D28" s="115">
        <v>0.1</v>
      </c>
      <c r="E28" s="6" t="e">
        <f>VLOOKUP($A28,#REF!,3,FALSE)</f>
        <v>#REF!</v>
      </c>
      <c r="F28" s="96">
        <f t="shared" si="1"/>
        <v>1.3</v>
      </c>
      <c r="G28" s="95">
        <v>4</v>
      </c>
      <c r="H28" s="95">
        <v>2</v>
      </c>
      <c r="I28" s="118" t="e">
        <f t="shared" si="0"/>
        <v>#REF!</v>
      </c>
      <c r="K28" s="135"/>
      <c r="R28" s="63"/>
    </row>
    <row r="29" spans="1:25" ht="15" customHeight="1" x14ac:dyDescent="0.25">
      <c r="A29" s="67" t="s">
        <v>76</v>
      </c>
      <c r="B29" s="147" t="s">
        <v>92</v>
      </c>
      <c r="C29" s="86">
        <v>1</v>
      </c>
      <c r="D29" s="115">
        <v>0.25</v>
      </c>
      <c r="E29" s="6" t="e">
        <f>VLOOKUP($A29,#REF!,3,FALSE)</f>
        <v>#REF!</v>
      </c>
      <c r="F29" s="96">
        <f t="shared" si="1"/>
        <v>1.3</v>
      </c>
      <c r="G29" s="95">
        <v>4</v>
      </c>
      <c r="H29" s="95">
        <v>2</v>
      </c>
      <c r="I29" s="118" t="e">
        <f t="shared" si="0"/>
        <v>#REF!</v>
      </c>
      <c r="K29" s="135"/>
      <c r="R29" s="63"/>
    </row>
    <row r="30" spans="1:25" ht="15" customHeight="1" x14ac:dyDescent="0.25">
      <c r="A30" s="67" t="s">
        <v>78</v>
      </c>
      <c r="B30" s="147" t="s">
        <v>117</v>
      </c>
      <c r="C30" s="86">
        <v>1</v>
      </c>
      <c r="D30" s="115">
        <v>1</v>
      </c>
      <c r="E30" s="6" t="e">
        <f>VLOOKUP($A30,#REF!,3,FALSE)</f>
        <v>#REF!</v>
      </c>
      <c r="F30" s="96">
        <f t="shared" si="1"/>
        <v>1.3</v>
      </c>
      <c r="G30" s="95">
        <v>4</v>
      </c>
      <c r="H30" s="95">
        <v>2</v>
      </c>
      <c r="I30" s="118" t="e">
        <f t="shared" si="0"/>
        <v>#REF!</v>
      </c>
      <c r="K30" s="135"/>
      <c r="R30" s="63"/>
    </row>
    <row r="31" spans="1:25" ht="15" customHeight="1" x14ac:dyDescent="0.25">
      <c r="A31" s="67" t="s">
        <v>79</v>
      </c>
      <c r="B31" s="147" t="s">
        <v>95</v>
      </c>
      <c r="C31" s="86">
        <v>1</v>
      </c>
      <c r="D31" s="115">
        <v>0.25</v>
      </c>
      <c r="E31" s="6" t="e">
        <f>VLOOKUP($A31,#REF!,3,FALSE)</f>
        <v>#REF!</v>
      </c>
      <c r="F31" s="96">
        <f t="shared" si="1"/>
        <v>1.3</v>
      </c>
      <c r="G31" s="95">
        <v>4</v>
      </c>
      <c r="H31" s="95">
        <v>2</v>
      </c>
      <c r="I31" s="118" t="e">
        <f t="shared" si="0"/>
        <v>#REF!</v>
      </c>
      <c r="K31" s="68"/>
      <c r="R31" s="63"/>
    </row>
    <row r="32" spans="1:25" ht="15" customHeight="1" x14ac:dyDescent="0.25">
      <c r="A32" s="67" t="s">
        <v>81</v>
      </c>
      <c r="B32" s="147" t="s">
        <v>87</v>
      </c>
      <c r="C32" s="86">
        <v>1</v>
      </c>
      <c r="D32" s="115">
        <v>1</v>
      </c>
      <c r="E32" s="6" t="e">
        <f>VLOOKUP($A32,#REF!,3,FALSE)</f>
        <v>#REF!</v>
      </c>
      <c r="F32" s="96">
        <v>1</v>
      </c>
      <c r="G32" s="95">
        <v>4</v>
      </c>
      <c r="H32" s="95">
        <v>2</v>
      </c>
      <c r="I32" s="118" t="e">
        <f t="shared" si="0"/>
        <v>#REF!</v>
      </c>
      <c r="K32" s="68"/>
      <c r="R32" s="63"/>
    </row>
    <row r="33" spans="1:25" ht="15" customHeight="1" x14ac:dyDescent="0.25">
      <c r="A33" s="67" t="s">
        <v>71</v>
      </c>
      <c r="B33" s="147" t="s">
        <v>116</v>
      </c>
      <c r="C33" s="86">
        <v>1</v>
      </c>
      <c r="D33" s="115">
        <v>0.5</v>
      </c>
      <c r="E33" s="6" t="e">
        <f>VLOOKUP($A33,#REF!,3,FALSE)</f>
        <v>#REF!</v>
      </c>
      <c r="F33" s="96">
        <f t="shared" si="1"/>
        <v>1.3</v>
      </c>
      <c r="G33" s="95">
        <v>4</v>
      </c>
      <c r="H33" s="95">
        <v>2</v>
      </c>
      <c r="I33" s="118" t="e">
        <f t="shared" si="0"/>
        <v>#REF!</v>
      </c>
      <c r="K33" s="68"/>
      <c r="R33" s="63"/>
    </row>
    <row r="34" spans="1:25" x14ac:dyDescent="0.25">
      <c r="A34" s="67" t="s">
        <v>80</v>
      </c>
      <c r="B34" s="148" t="s">
        <v>94</v>
      </c>
      <c r="C34" s="86">
        <v>1</v>
      </c>
      <c r="D34" s="115">
        <v>1</v>
      </c>
      <c r="E34" s="6" t="e">
        <f>VLOOKUP($A34,#REF!,3,FALSE)</f>
        <v>#REF!</v>
      </c>
      <c r="F34" s="96">
        <f t="shared" si="1"/>
        <v>1.3</v>
      </c>
      <c r="G34" s="95">
        <v>4</v>
      </c>
      <c r="H34" s="95">
        <v>2</v>
      </c>
      <c r="I34" s="118" t="e">
        <f t="shared" si="0"/>
        <v>#REF!</v>
      </c>
      <c r="K34" s="68"/>
      <c r="R34" s="63"/>
    </row>
    <row r="35" spans="1:25" ht="6.95" customHeight="1" x14ac:dyDescent="0.25">
      <c r="A35" s="67"/>
      <c r="B35" s="149"/>
      <c r="C35" s="88"/>
      <c r="D35" s="89"/>
      <c r="E35" s="90"/>
      <c r="F35" s="91"/>
      <c r="G35" s="91"/>
      <c r="H35" s="91"/>
      <c r="I35" s="92"/>
      <c r="K35" s="68"/>
      <c r="R35" s="63"/>
    </row>
    <row r="36" spans="1:25" ht="20.100000000000001" customHeight="1" x14ac:dyDescent="0.25">
      <c r="A36" s="67"/>
      <c r="B36" s="150" t="s">
        <v>4</v>
      </c>
      <c r="C36" s="84"/>
      <c r="D36" s="140"/>
      <c r="E36" s="140"/>
      <c r="F36" s="140"/>
      <c r="G36" s="140"/>
      <c r="H36" s="140"/>
      <c r="I36" s="93" t="e">
        <f>SUM(I22:I34)</f>
        <v>#REF!</v>
      </c>
      <c r="J36" s="93"/>
      <c r="K36" s="69"/>
      <c r="R36" s="63"/>
    </row>
    <row r="37" spans="1:25" ht="15" customHeight="1" x14ac:dyDescent="0.25">
      <c r="A37" s="67"/>
      <c r="B37" s="149"/>
      <c r="C37" s="88"/>
      <c r="D37" s="89"/>
      <c r="E37" s="90"/>
      <c r="F37" s="91"/>
      <c r="G37" s="91"/>
      <c r="H37" s="91"/>
      <c r="I37" s="92"/>
      <c r="K37" s="68"/>
      <c r="R37" s="63"/>
    </row>
    <row r="38" spans="1:25" ht="15" customHeight="1" x14ac:dyDescent="0.25">
      <c r="A38" s="33">
        <v>2</v>
      </c>
      <c r="B38" s="158" t="s">
        <v>5</v>
      </c>
      <c r="C38" s="51"/>
      <c r="D38" s="71"/>
      <c r="E38" s="52" t="s">
        <v>61</v>
      </c>
      <c r="F38" s="52"/>
      <c r="G38" s="52"/>
      <c r="H38" s="52"/>
      <c r="I38" s="53"/>
      <c r="R38" s="63"/>
    </row>
    <row r="39" spans="1:25" ht="15" customHeight="1" x14ac:dyDescent="0.25">
      <c r="A39" s="25"/>
      <c r="B39" s="152" t="s">
        <v>60</v>
      </c>
      <c r="C39" s="66"/>
      <c r="D39" s="72">
        <v>1</v>
      </c>
      <c r="E39" s="6">
        <v>950000</v>
      </c>
      <c r="F39" s="140"/>
      <c r="G39" s="95">
        <v>4</v>
      </c>
      <c r="H39" s="95">
        <v>2</v>
      </c>
      <c r="I39" s="70">
        <f>ROUND(D39*E39*G39+D39*E39*H39*$H$21,0)</f>
        <v>5738000</v>
      </c>
      <c r="K39" s="73"/>
      <c r="R39" s="63"/>
    </row>
    <row r="40" spans="1:25" ht="15" customHeight="1" x14ac:dyDescent="0.25">
      <c r="A40" s="34"/>
      <c r="B40" s="152" t="s">
        <v>101</v>
      </c>
      <c r="C40" s="66"/>
      <c r="D40" s="72">
        <v>1</v>
      </c>
      <c r="E40" s="6">
        <v>250000</v>
      </c>
      <c r="F40" s="140"/>
      <c r="G40" s="95">
        <v>4</v>
      </c>
      <c r="H40" s="95">
        <v>2</v>
      </c>
      <c r="I40" s="70">
        <f t="shared" ref="I40" si="2">+D40*E40*G40+D40*E40*H40*$H$21</f>
        <v>1510000</v>
      </c>
      <c r="K40" s="73"/>
      <c r="R40" s="63"/>
    </row>
    <row r="41" spans="1:25" ht="6.95" customHeight="1" x14ac:dyDescent="0.25">
      <c r="A41" s="67"/>
      <c r="B41" s="149"/>
      <c r="C41" s="88"/>
      <c r="D41" s="89"/>
      <c r="E41" s="90"/>
      <c r="F41" s="91"/>
      <c r="G41" s="91"/>
      <c r="H41" s="91"/>
      <c r="I41" s="92"/>
      <c r="K41" s="68"/>
      <c r="R41" s="63"/>
    </row>
    <row r="42" spans="1:25" ht="20.100000000000001" customHeight="1" x14ac:dyDescent="0.25">
      <c r="A42" s="67"/>
      <c r="B42" s="150" t="s">
        <v>6</v>
      </c>
      <c r="C42" s="38"/>
      <c r="D42" s="38"/>
      <c r="E42" s="38"/>
      <c r="F42" s="38"/>
      <c r="G42" s="38"/>
      <c r="H42" s="38"/>
      <c r="I42" s="93">
        <f>SUM(I39:I40)</f>
        <v>7248000</v>
      </c>
      <c r="J42" s="69"/>
      <c r="K42" s="69"/>
      <c r="R42" s="63"/>
    </row>
    <row r="43" spans="1:25" hidden="1" x14ac:dyDescent="0.25">
      <c r="A43" s="33">
        <v>3</v>
      </c>
      <c r="B43" s="150" t="s">
        <v>7</v>
      </c>
      <c r="C43" s="38"/>
      <c r="D43" s="66"/>
      <c r="E43" s="66"/>
      <c r="F43" s="66"/>
      <c r="G43" s="66"/>
      <c r="H43" s="66"/>
      <c r="I43" s="70"/>
      <c r="R43" s="63"/>
    </row>
    <row r="44" spans="1:25" ht="15" hidden="1" customHeight="1" x14ac:dyDescent="0.25">
      <c r="A44" s="33"/>
      <c r="B44" s="153" t="s">
        <v>8</v>
      </c>
      <c r="C44" s="55"/>
      <c r="D44" s="74"/>
      <c r="E44" s="74"/>
      <c r="F44" s="74"/>
      <c r="G44" s="74"/>
      <c r="H44" s="74"/>
      <c r="I44" s="56"/>
      <c r="J44" s="61" t="s">
        <v>56</v>
      </c>
      <c r="R44" s="63"/>
    </row>
    <row r="45" spans="1:25" s="2" customFormat="1" ht="18" hidden="1" customHeight="1" x14ac:dyDescent="0.25">
      <c r="A45" s="33"/>
      <c r="B45" s="150" t="s">
        <v>9</v>
      </c>
      <c r="C45" s="38"/>
      <c r="D45" s="38"/>
      <c r="E45" s="38"/>
      <c r="F45" s="38"/>
      <c r="G45" s="38"/>
      <c r="H45" s="38"/>
      <c r="I45" s="54">
        <f>SUM(I44:I44)</f>
        <v>0</v>
      </c>
      <c r="J45" s="69"/>
      <c r="K45" s="69"/>
      <c r="L45" s="108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5" customHeight="1" x14ac:dyDescent="0.25">
      <c r="A46" s="67"/>
      <c r="B46" s="149"/>
      <c r="C46" s="88"/>
      <c r="D46" s="89"/>
      <c r="E46" s="90"/>
      <c r="F46" s="91"/>
      <c r="G46" s="91"/>
      <c r="H46" s="91"/>
      <c r="I46" s="92"/>
      <c r="K46" s="68"/>
      <c r="R46" s="63"/>
    </row>
    <row r="47" spans="1:25" ht="15" customHeight="1" x14ac:dyDescent="0.25">
      <c r="A47" s="33">
        <v>4</v>
      </c>
      <c r="B47" s="157" t="s">
        <v>10</v>
      </c>
      <c r="C47" s="51"/>
      <c r="D47" s="75"/>
      <c r="E47" s="75"/>
      <c r="F47" s="100" t="s">
        <v>62</v>
      </c>
      <c r="G47" s="100"/>
      <c r="H47" s="100"/>
      <c r="I47" s="76"/>
      <c r="R47" s="63"/>
    </row>
    <row r="48" spans="1:25" ht="15" customHeight="1" x14ac:dyDescent="0.25">
      <c r="A48" s="67"/>
      <c r="B48" s="152" t="s">
        <v>11</v>
      </c>
      <c r="C48" s="66"/>
      <c r="D48" s="66"/>
      <c r="E48" s="66"/>
      <c r="F48" s="97">
        <v>4.8899999999999996E-4</v>
      </c>
      <c r="G48" s="97"/>
      <c r="H48" s="97"/>
      <c r="I48" s="70">
        <f>ROUND(($F$11*F48),0)</f>
        <v>772131</v>
      </c>
      <c r="R48" s="63"/>
    </row>
    <row r="49" spans="1:25" ht="15" customHeight="1" x14ac:dyDescent="0.25">
      <c r="A49" s="67"/>
      <c r="B49" s="152" t="s">
        <v>12</v>
      </c>
      <c r="C49" s="66"/>
      <c r="D49" s="66"/>
      <c r="E49" s="66"/>
      <c r="F49" s="98">
        <v>6.0899999999999995E-4</v>
      </c>
      <c r="G49" s="98"/>
      <c r="H49" s="98"/>
      <c r="I49" s="70">
        <f t="shared" ref="I49:I53" si="3">ROUND(($F$11*F49),0)</f>
        <v>961611</v>
      </c>
      <c r="R49" s="63"/>
    </row>
    <row r="50" spans="1:25" ht="15" customHeight="1" x14ac:dyDescent="0.25">
      <c r="A50" s="67"/>
      <c r="B50" s="152" t="s">
        <v>13</v>
      </c>
      <c r="C50" s="66"/>
      <c r="D50" s="66"/>
      <c r="E50" s="66"/>
      <c r="F50" s="98">
        <v>2.3999999999999998E-3</v>
      </c>
      <c r="G50" s="98"/>
      <c r="H50" s="98"/>
      <c r="I50" s="70">
        <f t="shared" si="3"/>
        <v>3789598</v>
      </c>
      <c r="R50" s="63"/>
    </row>
    <row r="51" spans="1:25" ht="15" customHeight="1" x14ac:dyDescent="0.25">
      <c r="A51" s="67"/>
      <c r="B51" s="152" t="s">
        <v>44</v>
      </c>
      <c r="C51" s="66"/>
      <c r="D51" s="66"/>
      <c r="E51" s="66"/>
      <c r="F51" s="98">
        <v>2.712E-3</v>
      </c>
      <c r="G51" s="98"/>
      <c r="H51" s="98"/>
      <c r="I51" s="70">
        <f t="shared" si="3"/>
        <v>4282246</v>
      </c>
      <c r="R51" s="63"/>
    </row>
    <row r="52" spans="1:25" ht="15" customHeight="1" x14ac:dyDescent="0.25">
      <c r="A52" s="77"/>
      <c r="B52" s="152" t="s">
        <v>14</v>
      </c>
      <c r="C52" s="66"/>
      <c r="D52" s="66"/>
      <c r="E52" s="66"/>
      <c r="F52" s="98">
        <v>2.032E-3</v>
      </c>
      <c r="G52" s="98"/>
      <c r="H52" s="98"/>
      <c r="I52" s="70">
        <f t="shared" si="3"/>
        <v>3208526</v>
      </c>
      <c r="R52" s="63"/>
    </row>
    <row r="53" spans="1:25" ht="15" customHeight="1" x14ac:dyDescent="0.25">
      <c r="A53" s="77"/>
      <c r="B53" s="152" t="s">
        <v>15</v>
      </c>
      <c r="C53" s="66"/>
      <c r="D53" s="66"/>
      <c r="E53" s="66"/>
      <c r="F53" s="98">
        <v>1.8090000000000001E-3</v>
      </c>
      <c r="G53" s="98"/>
      <c r="H53" s="98"/>
      <c r="I53" s="70">
        <f t="shared" si="3"/>
        <v>2856410</v>
      </c>
      <c r="R53" s="63"/>
    </row>
    <row r="54" spans="1:25" ht="6.95" customHeight="1" x14ac:dyDescent="0.25">
      <c r="A54" s="67"/>
      <c r="B54" s="149"/>
      <c r="C54" s="88"/>
      <c r="D54" s="89"/>
      <c r="E54" s="90"/>
      <c r="F54" s="91"/>
      <c r="G54" s="91"/>
      <c r="H54" s="91"/>
      <c r="I54" s="92"/>
      <c r="K54" s="68"/>
      <c r="R54" s="63"/>
    </row>
    <row r="55" spans="1:25" s="2" customFormat="1" ht="20.100000000000001" customHeight="1" x14ac:dyDescent="0.25">
      <c r="A55" s="37"/>
      <c r="B55" s="150" t="s">
        <v>16</v>
      </c>
      <c r="C55" s="84"/>
      <c r="D55" s="84"/>
      <c r="E55" s="84"/>
      <c r="F55" s="99">
        <f>SUM(F48:F53)</f>
        <v>1.0050999999999999E-2</v>
      </c>
      <c r="G55" s="99"/>
      <c r="H55" s="99"/>
      <c r="I55" s="93">
        <f>SUM(I48:I53)</f>
        <v>15870522</v>
      </c>
      <c r="J55" s="69"/>
      <c r="K55" s="69"/>
      <c r="L55" s="108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5" customHeight="1" x14ac:dyDescent="0.25">
      <c r="A56" s="67"/>
      <c r="B56" s="149"/>
      <c r="C56" s="88"/>
      <c r="D56" s="89"/>
      <c r="E56" s="90"/>
      <c r="F56" s="91"/>
      <c r="G56" s="91"/>
      <c r="H56" s="91"/>
      <c r="I56" s="92"/>
      <c r="K56" s="68"/>
      <c r="R56" s="63"/>
    </row>
    <row r="57" spans="1:25" ht="15" customHeight="1" x14ac:dyDescent="0.25">
      <c r="A57" s="37">
        <v>5</v>
      </c>
      <c r="B57" s="151" t="s">
        <v>17</v>
      </c>
      <c r="C57" s="51"/>
      <c r="D57" s="71"/>
      <c r="E57" s="75" t="s">
        <v>63</v>
      </c>
      <c r="F57" s="71"/>
      <c r="G57" s="71"/>
      <c r="H57" s="71"/>
      <c r="I57" s="76"/>
      <c r="R57" s="63"/>
    </row>
    <row r="58" spans="1:25" ht="15" customHeight="1" x14ac:dyDescent="0.25">
      <c r="A58" s="77"/>
      <c r="B58" s="152" t="s">
        <v>18</v>
      </c>
      <c r="C58" s="66"/>
      <c r="D58" s="78">
        <v>1</v>
      </c>
      <c r="E58" s="6">
        <v>300000</v>
      </c>
      <c r="F58" s="42">
        <v>1</v>
      </c>
      <c r="G58" s="95">
        <v>4</v>
      </c>
      <c r="H58" s="95">
        <v>2</v>
      </c>
      <c r="I58" s="70">
        <f>+ROUND(D58*E58*F58*G58+D58*F58*H58*$H$21,0)</f>
        <v>1200002</v>
      </c>
      <c r="K58" s="65"/>
      <c r="R58" s="63"/>
    </row>
    <row r="59" spans="1:25" ht="15" customHeight="1" x14ac:dyDescent="0.25">
      <c r="A59" s="77"/>
      <c r="B59" s="152" t="s">
        <v>129</v>
      </c>
      <c r="C59" s="66"/>
      <c r="D59" s="78">
        <v>1</v>
      </c>
      <c r="E59" s="6">
        <v>1100000</v>
      </c>
      <c r="F59" s="42">
        <v>1</v>
      </c>
      <c r="G59" s="42"/>
      <c r="H59" s="42"/>
      <c r="I59" s="70">
        <f>+D59*E59</f>
        <v>1100000</v>
      </c>
      <c r="K59" s="65"/>
      <c r="R59" s="63"/>
    </row>
    <row r="60" spans="1:25" ht="6.95" customHeight="1" x14ac:dyDescent="0.25">
      <c r="A60" s="67"/>
      <c r="B60" s="149"/>
      <c r="C60" s="88"/>
      <c r="D60" s="89"/>
      <c r="E60" s="90"/>
      <c r="F60" s="91"/>
      <c r="G60" s="91"/>
      <c r="H60" s="91"/>
      <c r="I60" s="92"/>
      <c r="K60" s="68"/>
      <c r="R60" s="63"/>
    </row>
    <row r="61" spans="1:25" s="2" customFormat="1" ht="20.100000000000001" customHeight="1" x14ac:dyDescent="0.25">
      <c r="A61" s="37"/>
      <c r="B61" s="150" t="s">
        <v>20</v>
      </c>
      <c r="C61" s="38"/>
      <c r="D61" s="38"/>
      <c r="E61" s="38"/>
      <c r="F61" s="38"/>
      <c r="G61" s="38"/>
      <c r="H61" s="38"/>
      <c r="I61" s="93">
        <f>SUM(I58:I59)</f>
        <v>2300002</v>
      </c>
      <c r="J61" s="69"/>
      <c r="K61" s="69"/>
      <c r="L61" s="108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5" customHeight="1" x14ac:dyDescent="0.25">
      <c r="A62" s="67"/>
      <c r="B62" s="149"/>
      <c r="C62" s="88"/>
      <c r="D62" s="89"/>
      <c r="E62" s="90"/>
      <c r="F62" s="91"/>
      <c r="G62" s="91"/>
      <c r="H62" s="91"/>
      <c r="I62" s="92"/>
      <c r="K62" s="68"/>
      <c r="R62" s="63"/>
    </row>
    <row r="63" spans="1:25" ht="15" customHeight="1" x14ac:dyDescent="0.25">
      <c r="A63" s="37">
        <v>6</v>
      </c>
      <c r="B63" s="157" t="s">
        <v>21</v>
      </c>
      <c r="C63" s="51"/>
      <c r="D63" s="71"/>
      <c r="E63" s="71"/>
      <c r="F63" s="100" t="s">
        <v>62</v>
      </c>
      <c r="G63" s="100"/>
      <c r="H63" s="100"/>
      <c r="I63" s="76"/>
      <c r="R63" s="63"/>
    </row>
    <row r="64" spans="1:25" ht="15" customHeight="1" x14ac:dyDescent="0.25">
      <c r="A64" s="77"/>
      <c r="B64" s="152" t="s">
        <v>22</v>
      </c>
      <c r="C64" s="66"/>
      <c r="D64" s="402"/>
      <c r="E64" s="402"/>
      <c r="F64" s="42">
        <f>6.9/1000</f>
        <v>6.9000000000000008E-3</v>
      </c>
      <c r="G64" s="42"/>
      <c r="H64" s="42"/>
      <c r="I64" s="70">
        <f t="shared" ref="I64:I69" si="4">ROUND(($F$11*F64),0)</f>
        <v>10895094</v>
      </c>
      <c r="R64" s="63"/>
    </row>
    <row r="65" spans="1:25" ht="15" customHeight="1" x14ac:dyDescent="0.25">
      <c r="A65" s="77"/>
      <c r="B65" s="152" t="s">
        <v>23</v>
      </c>
      <c r="C65" s="66"/>
      <c r="D65" s="140"/>
      <c r="E65" s="140"/>
      <c r="F65" s="42">
        <f>4/1000</f>
        <v>4.0000000000000001E-3</v>
      </c>
      <c r="G65" s="42"/>
      <c r="H65" s="42"/>
      <c r="I65" s="70">
        <f>ROUND(($F$11*F65),0)</f>
        <v>6315997</v>
      </c>
      <c r="R65" s="63"/>
    </row>
    <row r="66" spans="1:25" ht="15" customHeight="1" x14ac:dyDescent="0.25">
      <c r="A66" s="77"/>
      <c r="B66" s="152" t="s">
        <v>126</v>
      </c>
      <c r="C66" s="66"/>
      <c r="D66" s="140"/>
      <c r="E66" s="140"/>
      <c r="F66" s="42">
        <v>0.02</v>
      </c>
      <c r="G66" s="42"/>
      <c r="H66" s="42"/>
      <c r="I66" s="70">
        <f t="shared" si="4"/>
        <v>31579984</v>
      </c>
      <c r="R66" s="63"/>
    </row>
    <row r="67" spans="1:25" ht="15" customHeight="1" x14ac:dyDescent="0.25">
      <c r="A67" s="77"/>
      <c r="B67" s="152" t="s">
        <v>24</v>
      </c>
      <c r="C67" s="66"/>
      <c r="D67" s="140"/>
      <c r="E67" s="140"/>
      <c r="F67" s="42">
        <v>0.01</v>
      </c>
      <c r="G67" s="42"/>
      <c r="H67" s="42"/>
      <c r="I67" s="70">
        <f t="shared" si="4"/>
        <v>15789992</v>
      </c>
      <c r="R67" s="63"/>
    </row>
    <row r="68" spans="1:25" ht="15" customHeight="1" x14ac:dyDescent="0.25">
      <c r="A68" s="77"/>
      <c r="B68" s="152" t="s">
        <v>25</v>
      </c>
      <c r="C68" s="66"/>
      <c r="D68" s="140"/>
      <c r="E68" s="140"/>
      <c r="F68" s="42">
        <v>5.0000000000000001E-3</v>
      </c>
      <c r="G68" s="42"/>
      <c r="H68" s="42"/>
      <c r="I68" s="70">
        <f t="shared" si="4"/>
        <v>7894996</v>
      </c>
      <c r="R68" s="63"/>
    </row>
    <row r="69" spans="1:25" ht="15" customHeight="1" x14ac:dyDescent="0.25">
      <c r="A69" s="77"/>
      <c r="B69" s="152" t="s">
        <v>26</v>
      </c>
      <c r="C69" s="66"/>
      <c r="D69" s="140"/>
      <c r="E69" s="140"/>
      <c r="F69" s="42">
        <v>0.01</v>
      </c>
      <c r="G69" s="42"/>
      <c r="H69" s="42"/>
      <c r="I69" s="70">
        <f t="shared" si="4"/>
        <v>15789992</v>
      </c>
      <c r="R69" s="63"/>
    </row>
    <row r="70" spans="1:25" ht="24.95" customHeight="1" x14ac:dyDescent="0.25">
      <c r="A70" s="77"/>
      <c r="B70" s="154" t="s">
        <v>83</v>
      </c>
      <c r="C70" s="80"/>
      <c r="D70" s="140"/>
      <c r="E70" s="140"/>
      <c r="F70" s="42">
        <v>0.05</v>
      </c>
      <c r="G70" s="42"/>
      <c r="H70" s="42"/>
      <c r="I70" s="70">
        <f>ROUND(($F$11*F70),0)</f>
        <v>78949959</v>
      </c>
      <c r="R70" s="63"/>
    </row>
    <row r="71" spans="1:25" ht="6.95" customHeight="1" x14ac:dyDescent="0.25">
      <c r="A71" s="67"/>
      <c r="B71" s="149"/>
      <c r="C71" s="88"/>
      <c r="D71" s="89"/>
      <c r="E71" s="90"/>
      <c r="F71" s="91"/>
      <c r="G71" s="91"/>
      <c r="H71" s="91"/>
      <c r="I71" s="92"/>
      <c r="K71" s="68"/>
      <c r="R71" s="63"/>
    </row>
    <row r="72" spans="1:25" s="2" customFormat="1" ht="20.100000000000001" customHeight="1" x14ac:dyDescent="0.25">
      <c r="A72" s="37"/>
      <c r="B72" s="150" t="s">
        <v>27</v>
      </c>
      <c r="C72" s="38"/>
      <c r="D72" s="38"/>
      <c r="E72" s="38"/>
      <c r="F72" s="38"/>
      <c r="G72" s="38"/>
      <c r="H72" s="38"/>
      <c r="I72" s="93">
        <f>SUM(I64:I70)</f>
        <v>167216014</v>
      </c>
      <c r="J72" s="69"/>
      <c r="K72" s="69"/>
      <c r="L72" s="108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5" customHeight="1" x14ac:dyDescent="0.25">
      <c r="A73" s="67"/>
      <c r="B73" s="149"/>
      <c r="C73" s="88"/>
      <c r="D73" s="89"/>
      <c r="E73" s="90"/>
      <c r="F73" s="91"/>
      <c r="G73" s="91"/>
      <c r="H73" s="91"/>
      <c r="I73" s="92"/>
      <c r="K73" s="68"/>
      <c r="R73" s="63"/>
    </row>
    <row r="74" spans="1:25" ht="15" customHeight="1" x14ac:dyDescent="0.25">
      <c r="A74" s="37">
        <v>7</v>
      </c>
      <c r="B74" s="157" t="s">
        <v>130</v>
      </c>
      <c r="C74" s="43"/>
      <c r="D74" s="40"/>
      <c r="E74" s="40"/>
      <c r="F74" s="6" t="s">
        <v>61</v>
      </c>
      <c r="G74" s="44"/>
      <c r="H74" s="44"/>
      <c r="I74" s="81"/>
      <c r="R74" s="63"/>
    </row>
    <row r="75" spans="1:25" ht="15" customHeight="1" x14ac:dyDescent="0.25">
      <c r="A75" s="37"/>
      <c r="B75" s="152" t="s">
        <v>60</v>
      </c>
      <c r="C75" s="43"/>
      <c r="D75" s="40"/>
      <c r="E75" s="40"/>
      <c r="F75" s="6"/>
      <c r="G75" s="44"/>
      <c r="H75" s="44"/>
      <c r="I75" s="81"/>
      <c r="R75" s="63"/>
    </row>
    <row r="76" spans="1:25" ht="15" customHeight="1" x14ac:dyDescent="0.25">
      <c r="A76" s="37"/>
      <c r="B76" s="152" t="s">
        <v>101</v>
      </c>
      <c r="C76" s="43"/>
      <c r="D76" s="40"/>
      <c r="E76" s="40"/>
      <c r="F76" s="6"/>
      <c r="G76" s="44"/>
      <c r="H76" s="44"/>
      <c r="I76" s="81"/>
      <c r="R76" s="63"/>
    </row>
    <row r="77" spans="1:25" ht="15" customHeight="1" x14ac:dyDescent="0.25">
      <c r="A77" s="37"/>
      <c r="B77" s="152" t="s">
        <v>18</v>
      </c>
      <c r="C77" s="43"/>
      <c r="D77" s="40"/>
      <c r="E77" s="40"/>
      <c r="F77" s="6"/>
      <c r="G77" s="44"/>
      <c r="H77" s="44"/>
      <c r="I77" s="81"/>
      <c r="R77" s="63"/>
    </row>
    <row r="78" spans="1:25" ht="15" customHeight="1" x14ac:dyDescent="0.25">
      <c r="A78" s="37"/>
      <c r="B78" s="152" t="s">
        <v>129</v>
      </c>
      <c r="C78" s="43"/>
      <c r="D78" s="40"/>
      <c r="E78" s="40"/>
      <c r="F78" s="6"/>
      <c r="G78" s="44"/>
      <c r="H78" s="44"/>
      <c r="I78" s="81"/>
      <c r="R78" s="63"/>
    </row>
    <row r="79" spans="1:25" ht="30" customHeight="1" x14ac:dyDescent="0.25">
      <c r="A79" s="67"/>
      <c r="B79" s="155" t="s">
        <v>128</v>
      </c>
      <c r="C79" s="43"/>
      <c r="D79" s="40"/>
      <c r="E79" s="40"/>
      <c r="F79" s="6">
        <v>0</v>
      </c>
      <c r="G79" s="44"/>
      <c r="H79" s="44"/>
      <c r="I79" s="81">
        <f>+F79</f>
        <v>0</v>
      </c>
      <c r="R79" s="63"/>
    </row>
    <row r="80" spans="1:25" ht="15" customHeight="1" x14ac:dyDescent="0.25">
      <c r="A80" s="67"/>
      <c r="B80" s="156" t="s">
        <v>111</v>
      </c>
      <c r="C80" s="43"/>
      <c r="D80" s="40"/>
      <c r="E80" s="40"/>
      <c r="F80" s="6">
        <v>0</v>
      </c>
      <c r="G80" s="44"/>
      <c r="H80" s="44"/>
      <c r="I80" s="81">
        <f>+F80</f>
        <v>0</v>
      </c>
      <c r="R80" s="63"/>
    </row>
    <row r="81" spans="1:18" ht="27" customHeight="1" x14ac:dyDescent="0.25">
      <c r="A81" s="67"/>
      <c r="B81" s="159" t="s">
        <v>112</v>
      </c>
      <c r="C81" s="43"/>
      <c r="D81" s="40"/>
      <c r="E81" s="40"/>
      <c r="F81" s="6">
        <v>0</v>
      </c>
      <c r="G81" s="44"/>
      <c r="H81" s="44"/>
      <c r="I81" s="81">
        <f>+F81</f>
        <v>0</v>
      </c>
      <c r="R81" s="63"/>
    </row>
    <row r="82" spans="1:18" s="63" customFormat="1" ht="15" customHeight="1" x14ac:dyDescent="0.25">
      <c r="A82" s="67"/>
      <c r="B82" s="156" t="s">
        <v>98</v>
      </c>
      <c r="C82" s="43"/>
      <c r="D82" s="40"/>
      <c r="E82" s="40"/>
      <c r="F82" s="6">
        <v>125000</v>
      </c>
      <c r="G82" s="95">
        <v>4</v>
      </c>
      <c r="H82" s="95">
        <v>2</v>
      </c>
      <c r="I82" s="81">
        <f>ROUND(F82*G82+F82*H82*$H$21,0)</f>
        <v>755000</v>
      </c>
      <c r="J82" s="61"/>
      <c r="K82" s="35"/>
      <c r="L82" s="105"/>
    </row>
    <row r="83" spans="1:18" s="63" customFormat="1" ht="15" customHeight="1" x14ac:dyDescent="0.25">
      <c r="A83" s="67"/>
      <c r="B83" s="156" t="s">
        <v>99</v>
      </c>
      <c r="C83" s="43"/>
      <c r="D83" s="40"/>
      <c r="E83" s="40"/>
      <c r="F83" s="6">
        <v>100000</v>
      </c>
      <c r="G83" s="95">
        <v>0</v>
      </c>
      <c r="H83" s="95">
        <v>0</v>
      </c>
      <c r="I83" s="81">
        <f t="shared" ref="I83:I97" si="5">ROUND(F83*G83+F83*H83*$H$21,0)</f>
        <v>0</v>
      </c>
      <c r="J83" s="61"/>
      <c r="K83" s="35"/>
      <c r="L83" s="105"/>
    </row>
    <row r="84" spans="1:18" s="63" customFormat="1" ht="15" customHeight="1" x14ac:dyDescent="0.25">
      <c r="A84" s="67"/>
      <c r="B84" s="156" t="s">
        <v>100</v>
      </c>
      <c r="C84" s="43"/>
      <c r="D84" s="40"/>
      <c r="E84" s="40"/>
      <c r="F84" s="6">
        <v>25000</v>
      </c>
      <c r="G84" s="95">
        <v>4</v>
      </c>
      <c r="H84" s="95">
        <v>2</v>
      </c>
      <c r="I84" s="81">
        <f t="shared" si="5"/>
        <v>151000</v>
      </c>
      <c r="J84" s="61"/>
      <c r="K84" s="35"/>
      <c r="L84" s="105"/>
    </row>
    <row r="85" spans="1:18" s="63" customFormat="1" ht="15" customHeight="1" x14ac:dyDescent="0.25">
      <c r="A85" s="77"/>
      <c r="B85" s="156" t="s">
        <v>29</v>
      </c>
      <c r="C85" s="43"/>
      <c r="D85" s="40"/>
      <c r="E85" s="41"/>
      <c r="F85" s="6" t="e">
        <f>+#REF!</f>
        <v>#REF!</v>
      </c>
      <c r="G85" s="95">
        <v>0</v>
      </c>
      <c r="H85" s="95">
        <v>0</v>
      </c>
      <c r="I85" s="81" t="e">
        <f t="shared" si="5"/>
        <v>#REF!</v>
      </c>
      <c r="J85" s="61"/>
      <c r="K85" s="35"/>
      <c r="L85" s="105"/>
    </row>
    <row r="86" spans="1:18" s="63" customFormat="1" ht="15" customHeight="1" x14ac:dyDescent="0.25">
      <c r="A86" s="77"/>
      <c r="B86" s="147" t="s">
        <v>30</v>
      </c>
      <c r="C86" s="39"/>
      <c r="D86" s="40"/>
      <c r="E86" s="40"/>
      <c r="F86" s="6">
        <v>18000</v>
      </c>
      <c r="G86" s="95">
        <v>4</v>
      </c>
      <c r="H86" s="95">
        <v>2</v>
      </c>
      <c r="I86" s="81">
        <f t="shared" si="5"/>
        <v>108720</v>
      </c>
      <c r="J86" s="61"/>
      <c r="K86" s="35"/>
      <c r="L86" s="105"/>
    </row>
    <row r="87" spans="1:18" s="63" customFormat="1" ht="15" customHeight="1" x14ac:dyDescent="0.25">
      <c r="A87" s="77"/>
      <c r="B87" s="156" t="s">
        <v>97</v>
      </c>
      <c r="C87" s="43"/>
      <c r="D87" s="40"/>
      <c r="E87" s="40"/>
      <c r="F87" s="6">
        <v>75000</v>
      </c>
      <c r="G87" s="95">
        <v>1</v>
      </c>
      <c r="H87" s="95">
        <v>0</v>
      </c>
      <c r="I87" s="81">
        <f t="shared" si="5"/>
        <v>75000</v>
      </c>
      <c r="J87" s="61"/>
      <c r="K87" s="35"/>
      <c r="L87" s="105"/>
    </row>
    <row r="88" spans="1:18" s="63" customFormat="1" ht="15" customHeight="1" x14ac:dyDescent="0.25">
      <c r="A88" s="82"/>
      <c r="B88" s="156" t="s">
        <v>106</v>
      </c>
      <c r="C88" s="47"/>
      <c r="D88" s="48"/>
      <c r="E88" s="48"/>
      <c r="F88" s="49">
        <v>100000</v>
      </c>
      <c r="G88" s="49"/>
      <c r="H88" s="49"/>
      <c r="I88" s="81">
        <f t="shared" si="5"/>
        <v>0</v>
      </c>
      <c r="K88" s="50"/>
      <c r="L88" s="105"/>
    </row>
    <row r="89" spans="1:18" s="63" customFormat="1" ht="15" customHeight="1" x14ac:dyDescent="0.25">
      <c r="A89" s="77"/>
      <c r="B89" s="156" t="s">
        <v>107</v>
      </c>
      <c r="C89" s="43"/>
      <c r="D89" s="40"/>
      <c r="E89" s="40"/>
      <c r="F89" s="6">
        <v>10000</v>
      </c>
      <c r="G89" s="6"/>
      <c r="H89" s="6"/>
      <c r="I89" s="81">
        <f t="shared" si="5"/>
        <v>0</v>
      </c>
      <c r="J89" s="61"/>
      <c r="K89" s="35"/>
      <c r="L89" s="105"/>
    </row>
    <row r="90" spans="1:18" s="63" customFormat="1" ht="15" customHeight="1" x14ac:dyDescent="0.25">
      <c r="A90" s="77"/>
      <c r="B90" s="147" t="s">
        <v>31</v>
      </c>
      <c r="C90" s="39"/>
      <c r="D90" s="40"/>
      <c r="E90" s="40"/>
      <c r="F90" s="6">
        <v>0</v>
      </c>
      <c r="G90" s="6"/>
      <c r="H90" s="6"/>
      <c r="I90" s="81">
        <f t="shared" si="5"/>
        <v>0</v>
      </c>
      <c r="J90" s="61"/>
      <c r="K90" s="35"/>
      <c r="L90" s="105"/>
    </row>
    <row r="91" spans="1:18" s="63" customFormat="1" ht="15" customHeight="1" x14ac:dyDescent="0.25">
      <c r="A91" s="67"/>
      <c r="B91" s="156" t="s">
        <v>32</v>
      </c>
      <c r="C91" s="43"/>
      <c r="D91" s="40"/>
      <c r="E91" s="40"/>
      <c r="F91" s="6">
        <v>18000</v>
      </c>
      <c r="G91" s="95">
        <v>4</v>
      </c>
      <c r="H91" s="95">
        <v>2</v>
      </c>
      <c r="I91" s="81">
        <f t="shared" si="5"/>
        <v>108720</v>
      </c>
      <c r="J91" s="61"/>
      <c r="K91" s="35"/>
      <c r="L91" s="105"/>
    </row>
    <row r="92" spans="1:18" s="63" customFormat="1" ht="15" customHeight="1" x14ac:dyDescent="0.25">
      <c r="A92" s="67"/>
      <c r="B92" s="147" t="s">
        <v>33</v>
      </c>
      <c r="C92" s="39"/>
      <c r="D92" s="40"/>
      <c r="E92" s="40"/>
      <c r="F92" s="6">
        <v>15000</v>
      </c>
      <c r="G92" s="95">
        <v>4</v>
      </c>
      <c r="H92" s="95">
        <v>2</v>
      </c>
      <c r="I92" s="81">
        <f t="shared" si="5"/>
        <v>90600</v>
      </c>
      <c r="J92" s="61"/>
      <c r="K92" s="35"/>
      <c r="L92" s="105"/>
    </row>
    <row r="93" spans="1:18" s="63" customFormat="1" ht="24.95" customHeight="1" x14ac:dyDescent="0.25">
      <c r="A93" s="67"/>
      <c r="B93" s="154" t="s">
        <v>90</v>
      </c>
      <c r="C93" s="45"/>
      <c r="D93" s="40"/>
      <c r="E93" s="40"/>
      <c r="F93" s="6">
        <v>100000</v>
      </c>
      <c r="G93" s="95">
        <v>4</v>
      </c>
      <c r="H93" s="95">
        <v>2</v>
      </c>
      <c r="I93" s="81">
        <f t="shared" si="5"/>
        <v>604000</v>
      </c>
      <c r="J93" s="61"/>
      <c r="K93" s="35"/>
      <c r="L93" s="105"/>
    </row>
    <row r="94" spans="1:18" ht="15" customHeight="1" x14ac:dyDescent="0.25">
      <c r="A94" s="67"/>
      <c r="B94" s="147" t="s">
        <v>34</v>
      </c>
      <c r="C94" s="39"/>
      <c r="D94" s="40"/>
      <c r="E94" s="40"/>
      <c r="F94" s="6">
        <v>0</v>
      </c>
      <c r="G94" s="6"/>
      <c r="H94" s="6"/>
      <c r="I94" s="81">
        <f t="shared" si="5"/>
        <v>0</v>
      </c>
      <c r="K94" s="35"/>
      <c r="R94" s="63"/>
    </row>
    <row r="95" spans="1:18" ht="15" customHeight="1" x14ac:dyDescent="0.25">
      <c r="A95" s="67"/>
      <c r="B95" s="156" t="s">
        <v>35</v>
      </c>
      <c r="C95" s="43"/>
      <c r="D95" s="40"/>
      <c r="E95" s="40"/>
      <c r="F95" s="6">
        <v>100000</v>
      </c>
      <c r="G95" s="95">
        <v>4</v>
      </c>
      <c r="H95" s="95">
        <v>2</v>
      </c>
      <c r="I95" s="81">
        <f t="shared" si="5"/>
        <v>604000</v>
      </c>
      <c r="K95" s="35"/>
      <c r="R95" s="63"/>
    </row>
    <row r="96" spans="1:18" ht="15" customHeight="1" x14ac:dyDescent="0.25">
      <c r="A96" s="67"/>
      <c r="B96" s="156" t="s">
        <v>104</v>
      </c>
      <c r="C96" s="43"/>
      <c r="D96" s="40"/>
      <c r="E96" s="40"/>
      <c r="F96" s="6" t="e">
        <f>+#REF!</f>
        <v>#REF!</v>
      </c>
      <c r="G96" s="79">
        <v>2</v>
      </c>
      <c r="H96" s="79">
        <v>0</v>
      </c>
      <c r="I96" s="81" t="e">
        <f t="shared" si="5"/>
        <v>#REF!</v>
      </c>
      <c r="K96" s="35"/>
      <c r="R96" s="63"/>
    </row>
    <row r="97" spans="1:25" ht="15" customHeight="1" x14ac:dyDescent="0.25">
      <c r="A97" s="67"/>
      <c r="B97" s="156" t="s">
        <v>59</v>
      </c>
      <c r="C97" s="46"/>
      <c r="D97" s="40"/>
      <c r="E97" s="40"/>
      <c r="F97" s="6">
        <v>75000</v>
      </c>
      <c r="G97" s="95">
        <v>4</v>
      </c>
      <c r="H97" s="95">
        <v>2</v>
      </c>
      <c r="I97" s="81">
        <f t="shared" si="5"/>
        <v>453000</v>
      </c>
      <c r="K97" s="35"/>
      <c r="R97" s="63"/>
    </row>
    <row r="98" spans="1:25" ht="6.95" customHeight="1" x14ac:dyDescent="0.25">
      <c r="A98" s="67"/>
      <c r="B98" s="87"/>
      <c r="C98" s="88"/>
      <c r="D98" s="89"/>
      <c r="E98" s="90"/>
      <c r="F98" s="91"/>
      <c r="G98" s="91"/>
      <c r="H98" s="91"/>
      <c r="I98" s="92"/>
      <c r="K98" s="68"/>
      <c r="R98" s="63"/>
    </row>
    <row r="99" spans="1:25" s="2" customFormat="1" ht="20.100000000000001" customHeight="1" x14ac:dyDescent="0.25">
      <c r="A99" s="37"/>
      <c r="B99" s="38" t="s">
        <v>36</v>
      </c>
      <c r="C99" s="38"/>
      <c r="D99" s="38"/>
      <c r="E99" s="38"/>
      <c r="F99" s="38"/>
      <c r="G99" s="38"/>
      <c r="H99" s="38"/>
      <c r="I99" s="93" t="e">
        <f>SUM(I79:I97)</f>
        <v>#REF!</v>
      </c>
      <c r="J99" s="69"/>
      <c r="K99" s="69"/>
      <c r="L99" s="108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15" customHeight="1" x14ac:dyDescent="0.25">
      <c r="A100" s="67"/>
      <c r="B100" s="87"/>
      <c r="C100" s="88"/>
      <c r="D100" s="89"/>
      <c r="E100" s="90"/>
      <c r="F100" s="91"/>
      <c r="G100" s="91"/>
      <c r="H100" s="91"/>
      <c r="I100" s="92"/>
      <c r="K100" s="68"/>
      <c r="R100" s="63"/>
    </row>
    <row r="101" spans="1:25" ht="20.100000000000001" customHeight="1" x14ac:dyDescent="0.25">
      <c r="A101" s="77"/>
      <c r="B101" s="395" t="s">
        <v>37</v>
      </c>
      <c r="C101" s="395"/>
      <c r="D101" s="395"/>
      <c r="E101" s="395"/>
      <c r="F101" s="143" t="e">
        <f>+ROUND(J101/F12,4)</f>
        <v>#REF!</v>
      </c>
      <c r="G101" s="71"/>
      <c r="H101" s="71"/>
      <c r="I101" s="93" t="e">
        <f>ROUND(F101*$F$12,0)</f>
        <v>#REF!</v>
      </c>
      <c r="J101" s="109" t="e">
        <f>+I36+I42+I55+I61+I72+I99</f>
        <v>#REF!</v>
      </c>
      <c r="R101" s="63"/>
    </row>
    <row r="102" spans="1:25" ht="6.95" customHeight="1" x14ac:dyDescent="0.25">
      <c r="A102" s="77"/>
      <c r="B102" s="77"/>
      <c r="C102" s="77"/>
      <c r="D102" s="77"/>
      <c r="E102" s="77"/>
      <c r="F102" s="144"/>
      <c r="I102" s="102"/>
      <c r="R102" s="63"/>
    </row>
    <row r="103" spans="1:25" ht="20.100000000000001" customHeight="1" x14ac:dyDescent="0.25">
      <c r="A103" s="77"/>
      <c r="B103" s="395" t="s">
        <v>102</v>
      </c>
      <c r="C103" s="395"/>
      <c r="D103" s="395"/>
      <c r="E103" s="395"/>
      <c r="F103" s="143">
        <v>0.01</v>
      </c>
      <c r="G103" s="71"/>
      <c r="H103" s="71"/>
      <c r="I103" s="93">
        <f>ROUND(F103*$F$12,0)-1</f>
        <v>11446999</v>
      </c>
      <c r="R103" s="63"/>
    </row>
    <row r="104" spans="1:25" ht="6.95" customHeight="1" x14ac:dyDescent="0.25">
      <c r="A104" s="77"/>
      <c r="B104" s="37"/>
      <c r="C104" s="37"/>
      <c r="D104" s="77"/>
      <c r="E104" s="77"/>
      <c r="F104" s="144"/>
      <c r="I104" s="102"/>
      <c r="R104" s="63"/>
    </row>
    <row r="105" spans="1:25" ht="20.100000000000001" customHeight="1" x14ac:dyDescent="0.25">
      <c r="A105" s="77"/>
      <c r="B105" s="395" t="s">
        <v>89</v>
      </c>
      <c r="C105" s="395"/>
      <c r="D105" s="395"/>
      <c r="E105" s="395"/>
      <c r="F105" s="143">
        <v>0.05</v>
      </c>
      <c r="G105" s="71"/>
      <c r="H105" s="71"/>
      <c r="I105" s="93">
        <f>ROUND(F105*$F$12,0)</f>
        <v>57235000</v>
      </c>
      <c r="R105" s="63"/>
    </row>
    <row r="106" spans="1:25" ht="6.95" customHeight="1" x14ac:dyDescent="0.25">
      <c r="A106" s="77"/>
      <c r="B106" s="2"/>
      <c r="C106" s="2"/>
      <c r="F106" s="145"/>
      <c r="I106" s="73"/>
      <c r="R106" s="63"/>
    </row>
    <row r="107" spans="1:25" s="2" customFormat="1" ht="20.100000000000001" customHeight="1" x14ac:dyDescent="0.25">
      <c r="A107" s="37"/>
      <c r="B107" s="396" t="s">
        <v>96</v>
      </c>
      <c r="C107" s="397"/>
      <c r="D107" s="397"/>
      <c r="E107" s="398"/>
      <c r="F107" s="146" t="e">
        <f>SUM(F101:F105)</f>
        <v>#REF!</v>
      </c>
      <c r="G107" s="71"/>
      <c r="H107" s="71"/>
      <c r="I107" s="93" t="e">
        <f>+ROUND(F107*F12,0)</f>
        <v>#REF!</v>
      </c>
      <c r="J107" s="83">
        <v>434299180</v>
      </c>
      <c r="K107" s="69"/>
      <c r="L107" s="110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x14ac:dyDescent="0.25">
      <c r="A108" s="77"/>
      <c r="I108" s="73"/>
      <c r="R108" s="63"/>
    </row>
    <row r="109" spans="1:25" x14ac:dyDescent="0.25">
      <c r="A109" s="77"/>
      <c r="I109" s="73"/>
      <c r="R109" s="63"/>
    </row>
    <row r="110" spans="1:25" x14ac:dyDescent="0.25">
      <c r="A110" s="77"/>
      <c r="I110" s="73"/>
      <c r="J110" s="103"/>
      <c r="R110" s="63"/>
    </row>
    <row r="111" spans="1:25" s="63" customFormat="1" x14ac:dyDescent="0.25">
      <c r="A111" s="77"/>
      <c r="B111" s="61"/>
      <c r="C111" s="61"/>
      <c r="D111" s="61"/>
      <c r="E111" s="61"/>
      <c r="F111" s="61"/>
      <c r="G111" s="61"/>
      <c r="H111" s="61"/>
      <c r="I111" s="73"/>
      <c r="J111" s="61"/>
      <c r="K111" s="62"/>
      <c r="L111" s="105"/>
    </row>
    <row r="112" spans="1:25" s="63" customFormat="1" x14ac:dyDescent="0.25">
      <c r="A112" s="77"/>
      <c r="B112" s="61"/>
      <c r="C112" s="61"/>
      <c r="D112" s="61"/>
      <c r="E112" s="61"/>
      <c r="F112" s="61"/>
      <c r="G112" s="61"/>
      <c r="H112" s="61"/>
      <c r="I112" s="104"/>
      <c r="J112" s="61"/>
      <c r="K112" s="62"/>
      <c r="L112" s="105"/>
    </row>
    <row r="113" spans="1:12" s="63" customFormat="1" x14ac:dyDescent="0.25">
      <c r="A113" s="77"/>
      <c r="B113" s="61"/>
      <c r="C113" s="61"/>
      <c r="D113" s="61"/>
      <c r="E113" s="61"/>
      <c r="F113" s="61"/>
      <c r="G113" s="61"/>
      <c r="H113" s="61"/>
      <c r="I113" s="73"/>
      <c r="J113" s="61"/>
      <c r="K113" s="61"/>
      <c r="L113" s="105"/>
    </row>
    <row r="114" spans="1:12" s="63" customFormat="1" x14ac:dyDescent="0.25">
      <c r="A114" s="77"/>
      <c r="B114" s="61"/>
      <c r="C114" s="61"/>
      <c r="D114" s="61"/>
      <c r="E114" s="61"/>
      <c r="F114" s="61"/>
      <c r="G114" s="61"/>
      <c r="H114" s="61"/>
      <c r="I114" s="73"/>
      <c r="J114" s="61"/>
      <c r="K114" s="61"/>
      <c r="L114" s="105"/>
    </row>
    <row r="115" spans="1:12" s="63" customFormat="1" x14ac:dyDescent="0.25">
      <c r="A115" s="77"/>
      <c r="B115" s="61"/>
      <c r="C115" s="61"/>
      <c r="D115" s="61"/>
      <c r="E115" s="61"/>
      <c r="F115" s="61"/>
      <c r="G115" s="61"/>
      <c r="H115" s="61"/>
      <c r="I115" s="73"/>
      <c r="J115" s="61"/>
      <c r="K115" s="61"/>
      <c r="L115" s="105"/>
    </row>
    <row r="116" spans="1:12" s="63" customFormat="1" x14ac:dyDescent="0.25">
      <c r="A116" s="77"/>
      <c r="B116" s="61"/>
      <c r="C116" s="61"/>
      <c r="D116" s="61"/>
      <c r="E116" s="61"/>
      <c r="F116" s="61"/>
      <c r="G116" s="61"/>
      <c r="H116" s="61"/>
      <c r="I116" s="73"/>
      <c r="J116" s="61"/>
      <c r="K116" s="61"/>
      <c r="L116" s="105"/>
    </row>
    <row r="117" spans="1:12" s="63" customFormat="1" x14ac:dyDescent="0.25">
      <c r="A117" s="77"/>
      <c r="B117" s="61"/>
      <c r="C117" s="61"/>
      <c r="D117" s="61"/>
      <c r="E117" s="61"/>
      <c r="F117" s="61"/>
      <c r="G117" s="61"/>
      <c r="H117" s="61"/>
      <c r="I117" s="73"/>
      <c r="J117" s="61"/>
      <c r="K117" s="61"/>
      <c r="L117" s="105"/>
    </row>
    <row r="118" spans="1:12" s="63" customFormat="1" x14ac:dyDescent="0.25">
      <c r="A118" s="77"/>
      <c r="B118" s="61"/>
      <c r="C118" s="61"/>
      <c r="D118" s="61"/>
      <c r="E118" s="61"/>
      <c r="F118" s="61"/>
      <c r="G118" s="61"/>
      <c r="H118" s="61"/>
      <c r="I118" s="73"/>
      <c r="J118" s="61"/>
      <c r="K118" s="61"/>
      <c r="L118" s="105"/>
    </row>
    <row r="119" spans="1:12" s="63" customFormat="1" x14ac:dyDescent="0.25">
      <c r="A119" s="77"/>
      <c r="B119" s="61"/>
      <c r="C119" s="61"/>
      <c r="D119" s="61"/>
      <c r="E119" s="61"/>
      <c r="F119" s="61"/>
      <c r="G119" s="61"/>
      <c r="H119" s="61"/>
      <c r="I119" s="73"/>
      <c r="J119" s="61"/>
      <c r="K119" s="61"/>
      <c r="L119" s="105"/>
    </row>
    <row r="120" spans="1:12" s="63" customFormat="1" x14ac:dyDescent="0.25">
      <c r="A120" s="77"/>
      <c r="B120" s="61"/>
      <c r="C120" s="61"/>
      <c r="D120" s="61"/>
      <c r="E120" s="61"/>
      <c r="F120" s="61"/>
      <c r="G120" s="61"/>
      <c r="H120" s="61"/>
      <c r="I120" s="73"/>
      <c r="J120" s="61"/>
      <c r="K120" s="61"/>
      <c r="L120" s="105"/>
    </row>
    <row r="121" spans="1:12" s="63" customFormat="1" x14ac:dyDescent="0.25">
      <c r="A121" s="77"/>
      <c r="B121" s="61"/>
      <c r="C121" s="61"/>
      <c r="D121" s="61"/>
      <c r="E121" s="61"/>
      <c r="F121" s="61"/>
      <c r="G121" s="61"/>
      <c r="H121" s="61"/>
      <c r="I121" s="73"/>
      <c r="J121" s="61"/>
      <c r="K121" s="61"/>
      <c r="L121" s="105"/>
    </row>
    <row r="122" spans="1:12" s="63" customFormat="1" x14ac:dyDescent="0.25">
      <c r="A122" s="77"/>
      <c r="B122" s="61"/>
      <c r="C122" s="61"/>
      <c r="D122" s="61"/>
      <c r="E122" s="61"/>
      <c r="F122" s="61"/>
      <c r="G122" s="61"/>
      <c r="H122" s="61"/>
      <c r="I122" s="73"/>
      <c r="J122" s="61"/>
      <c r="K122" s="61"/>
      <c r="L122" s="105"/>
    </row>
    <row r="123" spans="1:12" s="63" customFormat="1" x14ac:dyDescent="0.25">
      <c r="A123" s="77"/>
      <c r="B123" s="61"/>
      <c r="C123" s="61"/>
      <c r="D123" s="61"/>
      <c r="E123" s="61"/>
      <c r="F123" s="61"/>
      <c r="G123" s="61"/>
      <c r="H123" s="61"/>
      <c r="I123" s="73"/>
      <c r="J123" s="61"/>
      <c r="K123" s="61"/>
      <c r="L123" s="105"/>
    </row>
    <row r="124" spans="1:12" s="63" customFormat="1" x14ac:dyDescent="0.25">
      <c r="A124" s="77"/>
      <c r="B124" s="61"/>
      <c r="C124" s="61"/>
      <c r="D124" s="61"/>
      <c r="E124" s="61"/>
      <c r="F124" s="61"/>
      <c r="G124" s="61"/>
      <c r="H124" s="61"/>
      <c r="I124" s="73"/>
      <c r="J124" s="61"/>
      <c r="K124" s="61"/>
      <c r="L124" s="105"/>
    </row>
    <row r="125" spans="1:12" s="63" customFormat="1" x14ac:dyDescent="0.25">
      <c r="A125" s="77"/>
      <c r="B125" s="61"/>
      <c r="C125" s="61"/>
      <c r="D125" s="61"/>
      <c r="E125" s="61"/>
      <c r="F125" s="61"/>
      <c r="G125" s="61"/>
      <c r="H125" s="61"/>
      <c r="I125" s="73"/>
      <c r="J125" s="61"/>
      <c r="K125" s="61"/>
      <c r="L125" s="105"/>
    </row>
    <row r="126" spans="1:12" s="63" customFormat="1" x14ac:dyDescent="0.25">
      <c r="A126" s="77"/>
      <c r="B126" s="61"/>
      <c r="C126" s="61"/>
      <c r="D126" s="61"/>
      <c r="E126" s="61"/>
      <c r="F126" s="61"/>
      <c r="G126" s="61"/>
      <c r="H126" s="61"/>
      <c r="I126" s="73"/>
      <c r="J126" s="61"/>
      <c r="K126" s="61"/>
      <c r="L126" s="105"/>
    </row>
    <row r="127" spans="1:12" s="63" customFormat="1" x14ac:dyDescent="0.25">
      <c r="A127" s="77"/>
      <c r="B127" s="61"/>
      <c r="C127" s="61"/>
      <c r="D127" s="61"/>
      <c r="E127" s="61"/>
      <c r="F127" s="61"/>
      <c r="G127" s="61"/>
      <c r="H127" s="61"/>
      <c r="I127" s="73"/>
      <c r="J127" s="61"/>
      <c r="K127" s="61"/>
      <c r="L127" s="105"/>
    </row>
    <row r="128" spans="1:12" s="63" customFormat="1" x14ac:dyDescent="0.25">
      <c r="A128" s="77"/>
      <c r="B128" s="61"/>
      <c r="C128" s="61"/>
      <c r="D128" s="61"/>
      <c r="E128" s="61"/>
      <c r="F128" s="61"/>
      <c r="G128" s="61"/>
      <c r="H128" s="61"/>
      <c r="I128" s="73"/>
      <c r="J128" s="61"/>
      <c r="K128" s="61"/>
      <c r="L128" s="105"/>
    </row>
    <row r="129" spans="1:12" s="63" customFormat="1" x14ac:dyDescent="0.25">
      <c r="A129" s="77"/>
      <c r="B129" s="61"/>
      <c r="C129" s="61"/>
      <c r="D129" s="61"/>
      <c r="E129" s="61"/>
      <c r="F129" s="61"/>
      <c r="G129" s="61"/>
      <c r="H129" s="61"/>
      <c r="I129" s="73"/>
      <c r="J129" s="61"/>
      <c r="K129" s="61"/>
      <c r="L129" s="105"/>
    </row>
    <row r="130" spans="1:12" s="63" customFormat="1" x14ac:dyDescent="0.25">
      <c r="A130" s="77"/>
      <c r="B130" s="61"/>
      <c r="C130" s="61"/>
      <c r="D130" s="61"/>
      <c r="E130" s="61"/>
      <c r="F130" s="61"/>
      <c r="G130" s="61"/>
      <c r="H130" s="61"/>
      <c r="I130" s="73"/>
      <c r="J130" s="61"/>
      <c r="K130" s="61"/>
      <c r="L130" s="105"/>
    </row>
    <row r="131" spans="1:12" s="63" customFormat="1" x14ac:dyDescent="0.25">
      <c r="A131" s="77"/>
      <c r="B131" s="61"/>
      <c r="C131" s="61"/>
      <c r="D131" s="61"/>
      <c r="E131" s="61"/>
      <c r="F131" s="61"/>
      <c r="G131" s="61"/>
      <c r="H131" s="61"/>
      <c r="I131" s="73"/>
      <c r="J131" s="61"/>
      <c r="K131" s="61"/>
      <c r="L131" s="105"/>
    </row>
    <row r="132" spans="1:12" s="63" customFormat="1" x14ac:dyDescent="0.25">
      <c r="A132" s="77"/>
      <c r="B132" s="61"/>
      <c r="C132" s="61"/>
      <c r="D132" s="61"/>
      <c r="E132" s="61"/>
      <c r="F132" s="61"/>
      <c r="G132" s="61"/>
      <c r="H132" s="61"/>
      <c r="I132" s="73"/>
      <c r="J132" s="61"/>
      <c r="K132" s="61"/>
      <c r="L132" s="105"/>
    </row>
    <row r="133" spans="1:12" s="63" customFormat="1" x14ac:dyDescent="0.25">
      <c r="A133" s="77"/>
      <c r="B133" s="61"/>
      <c r="C133" s="61"/>
      <c r="D133" s="61"/>
      <c r="E133" s="61"/>
      <c r="F133" s="61"/>
      <c r="G133" s="61"/>
      <c r="H133" s="61"/>
      <c r="I133" s="83"/>
      <c r="J133" s="61"/>
      <c r="K133" s="61"/>
      <c r="L133" s="105"/>
    </row>
    <row r="134" spans="1:12" s="63" customFormat="1" x14ac:dyDescent="0.25">
      <c r="A134" s="77"/>
      <c r="B134" s="61"/>
      <c r="C134" s="61"/>
      <c r="D134" s="61"/>
      <c r="E134" s="61"/>
      <c r="F134" s="61"/>
      <c r="G134" s="61"/>
      <c r="H134" s="61"/>
      <c r="I134" s="83"/>
      <c r="J134" s="61"/>
      <c r="K134" s="61"/>
      <c r="L134" s="105"/>
    </row>
    <row r="135" spans="1:12" s="63" customFormat="1" x14ac:dyDescent="0.25">
      <c r="A135" s="77"/>
      <c r="B135" s="61"/>
      <c r="C135" s="61"/>
      <c r="D135" s="61"/>
      <c r="E135" s="61"/>
      <c r="F135" s="61"/>
      <c r="G135" s="61"/>
      <c r="H135" s="61"/>
      <c r="I135" s="83"/>
      <c r="J135" s="61"/>
      <c r="K135" s="61"/>
      <c r="L135" s="105"/>
    </row>
    <row r="136" spans="1:12" s="63" customFormat="1" x14ac:dyDescent="0.25">
      <c r="A136" s="77"/>
      <c r="B136" s="61"/>
      <c r="C136" s="61"/>
      <c r="D136" s="61"/>
      <c r="E136" s="61"/>
      <c r="F136" s="61"/>
      <c r="G136" s="61"/>
      <c r="H136" s="61"/>
      <c r="I136" s="83"/>
      <c r="J136" s="61"/>
      <c r="K136" s="61"/>
      <c r="L136" s="105"/>
    </row>
    <row r="137" spans="1:12" s="63" customFormat="1" x14ac:dyDescent="0.25">
      <c r="A137" s="77"/>
      <c r="B137" s="61"/>
      <c r="C137" s="61"/>
      <c r="D137" s="61"/>
      <c r="E137" s="61"/>
      <c r="F137" s="61"/>
      <c r="G137" s="61"/>
      <c r="H137" s="61"/>
      <c r="I137" s="83"/>
      <c r="J137" s="61"/>
      <c r="K137" s="61"/>
      <c r="L137" s="105"/>
    </row>
    <row r="138" spans="1:12" s="63" customFormat="1" x14ac:dyDescent="0.25">
      <c r="A138" s="77"/>
      <c r="B138" s="61"/>
      <c r="C138" s="61"/>
      <c r="D138" s="61"/>
      <c r="E138" s="61"/>
      <c r="F138" s="61"/>
      <c r="G138" s="61"/>
      <c r="H138" s="61"/>
      <c r="I138" s="83"/>
      <c r="J138" s="61"/>
      <c r="K138" s="61"/>
      <c r="L138" s="105"/>
    </row>
    <row r="139" spans="1:12" s="63" customFormat="1" x14ac:dyDescent="0.25">
      <c r="A139" s="77"/>
      <c r="B139" s="61"/>
      <c r="C139" s="61"/>
      <c r="D139" s="61"/>
      <c r="E139" s="61"/>
      <c r="F139" s="61"/>
      <c r="G139" s="61"/>
      <c r="H139" s="61"/>
      <c r="I139" s="83"/>
      <c r="J139" s="61"/>
      <c r="K139" s="61"/>
      <c r="L139" s="105"/>
    </row>
    <row r="140" spans="1:12" s="63" customFormat="1" x14ac:dyDescent="0.25">
      <c r="A140" s="77"/>
      <c r="B140" s="61"/>
      <c r="C140" s="61"/>
      <c r="D140" s="61"/>
      <c r="E140" s="61"/>
      <c r="F140" s="61"/>
      <c r="G140" s="61"/>
      <c r="H140" s="61"/>
      <c r="I140" s="83"/>
      <c r="J140" s="61"/>
      <c r="K140" s="61"/>
      <c r="L140" s="105"/>
    </row>
    <row r="141" spans="1:12" s="63" customFormat="1" x14ac:dyDescent="0.25">
      <c r="A141" s="77"/>
      <c r="B141" s="61"/>
      <c r="C141" s="61"/>
      <c r="D141" s="61"/>
      <c r="E141" s="61"/>
      <c r="F141" s="61"/>
      <c r="G141" s="61"/>
      <c r="H141" s="61"/>
      <c r="I141" s="83"/>
      <c r="J141" s="61"/>
      <c r="K141" s="61"/>
      <c r="L141" s="105"/>
    </row>
    <row r="142" spans="1:12" s="63" customFormat="1" x14ac:dyDescent="0.25">
      <c r="A142" s="77"/>
      <c r="B142" s="61"/>
      <c r="C142" s="61"/>
      <c r="D142" s="61"/>
      <c r="E142" s="61"/>
      <c r="F142" s="61"/>
      <c r="G142" s="61"/>
      <c r="H142" s="61"/>
      <c r="I142" s="83"/>
      <c r="J142" s="61"/>
      <c r="K142" s="61"/>
      <c r="L142" s="105"/>
    </row>
    <row r="143" spans="1:12" s="63" customFormat="1" x14ac:dyDescent="0.25">
      <c r="A143" s="77"/>
      <c r="B143" s="61"/>
      <c r="C143" s="61"/>
      <c r="D143" s="61"/>
      <c r="E143" s="61"/>
      <c r="F143" s="61"/>
      <c r="G143" s="61"/>
      <c r="H143" s="61"/>
      <c r="I143" s="83"/>
      <c r="J143" s="61"/>
      <c r="K143" s="61"/>
      <c r="L143" s="105"/>
    </row>
    <row r="144" spans="1:12" s="63" customFormat="1" x14ac:dyDescent="0.25">
      <c r="A144" s="77"/>
      <c r="B144" s="61"/>
      <c r="C144" s="61"/>
      <c r="D144" s="61"/>
      <c r="E144" s="61"/>
      <c r="F144" s="61"/>
      <c r="G144" s="61"/>
      <c r="H144" s="61"/>
      <c r="I144" s="83"/>
      <c r="J144" s="61"/>
      <c r="K144" s="61"/>
      <c r="L144" s="105"/>
    </row>
    <row r="145" spans="1:12" s="63" customFormat="1" x14ac:dyDescent="0.25">
      <c r="A145" s="77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105"/>
    </row>
    <row r="146" spans="1:12" s="63" customFormat="1" x14ac:dyDescent="0.25">
      <c r="A146" s="77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105"/>
    </row>
    <row r="147" spans="1:12" s="63" customFormat="1" x14ac:dyDescent="0.25">
      <c r="A147" s="77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105"/>
    </row>
    <row r="148" spans="1:12" s="63" customFormat="1" x14ac:dyDescent="0.25">
      <c r="A148" s="77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105"/>
    </row>
    <row r="149" spans="1:12" s="63" customFormat="1" x14ac:dyDescent="0.25">
      <c r="A149" s="77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105"/>
    </row>
    <row r="150" spans="1:12" s="63" customFormat="1" x14ac:dyDescent="0.25">
      <c r="A150" s="77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105"/>
    </row>
    <row r="151" spans="1:12" s="63" customFormat="1" x14ac:dyDescent="0.25">
      <c r="A151" s="77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105"/>
    </row>
    <row r="152" spans="1:12" s="63" customFormat="1" x14ac:dyDescent="0.25">
      <c r="A152" s="77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105"/>
    </row>
    <row r="153" spans="1:12" s="63" customFormat="1" x14ac:dyDescent="0.25">
      <c r="A153" s="77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105"/>
    </row>
    <row r="154" spans="1:12" s="63" customFormat="1" x14ac:dyDescent="0.25">
      <c r="A154" s="77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105"/>
    </row>
    <row r="155" spans="1:12" s="63" customFormat="1" x14ac:dyDescent="0.25">
      <c r="A155" s="77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105"/>
    </row>
    <row r="156" spans="1:12" s="63" customFormat="1" x14ac:dyDescent="0.25">
      <c r="A156" s="77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105"/>
    </row>
    <row r="157" spans="1:12" s="63" customFormat="1" x14ac:dyDescent="0.25">
      <c r="A157" s="77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105"/>
    </row>
    <row r="158" spans="1:12" s="63" customFormat="1" x14ac:dyDescent="0.25">
      <c r="A158" s="77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105"/>
    </row>
    <row r="159" spans="1:12" s="63" customFormat="1" x14ac:dyDescent="0.25">
      <c r="A159" s="77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105"/>
    </row>
    <row r="160" spans="1:12" s="63" customFormat="1" x14ac:dyDescent="0.25">
      <c r="A160" s="77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105"/>
    </row>
    <row r="161" spans="1:12" s="63" customFormat="1" x14ac:dyDescent="0.25">
      <c r="A161" s="77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105"/>
    </row>
    <row r="162" spans="1:12" s="63" customFormat="1" x14ac:dyDescent="0.25">
      <c r="A162" s="77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105"/>
    </row>
    <row r="163" spans="1:12" s="63" customFormat="1" x14ac:dyDescent="0.25">
      <c r="A163" s="77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105"/>
    </row>
    <row r="164" spans="1:12" s="63" customFormat="1" x14ac:dyDescent="0.25">
      <c r="A164" s="77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105"/>
    </row>
    <row r="165" spans="1:12" s="63" customFormat="1" x14ac:dyDescent="0.25">
      <c r="A165" s="77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105"/>
    </row>
    <row r="166" spans="1:12" s="63" customFormat="1" x14ac:dyDescent="0.25">
      <c r="A166" s="77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105"/>
    </row>
    <row r="167" spans="1:12" s="63" customFormat="1" x14ac:dyDescent="0.25">
      <c r="A167" s="77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105"/>
    </row>
    <row r="168" spans="1:12" s="63" customFormat="1" x14ac:dyDescent="0.25">
      <c r="A168" s="77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105"/>
    </row>
    <row r="169" spans="1:12" s="63" customFormat="1" x14ac:dyDescent="0.25">
      <c r="A169" s="77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105"/>
    </row>
    <row r="170" spans="1:12" s="63" customFormat="1" x14ac:dyDescent="0.25">
      <c r="A170" s="77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105"/>
    </row>
    <row r="171" spans="1:12" s="63" customFormat="1" x14ac:dyDescent="0.25">
      <c r="A171" s="77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105"/>
    </row>
    <row r="172" spans="1:12" s="63" customFormat="1" x14ac:dyDescent="0.25">
      <c r="A172" s="77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105"/>
    </row>
    <row r="173" spans="1:12" s="63" customFormat="1" x14ac:dyDescent="0.25">
      <c r="A173" s="77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105"/>
    </row>
    <row r="174" spans="1:12" s="63" customFormat="1" x14ac:dyDescent="0.25">
      <c r="A174" s="77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105"/>
    </row>
    <row r="175" spans="1:12" s="63" customFormat="1" x14ac:dyDescent="0.25">
      <c r="A175" s="77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105"/>
    </row>
    <row r="176" spans="1:12" s="63" customFormat="1" x14ac:dyDescent="0.25">
      <c r="A176" s="77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105"/>
    </row>
    <row r="177" spans="1:12" s="63" customFormat="1" x14ac:dyDescent="0.25">
      <c r="A177" s="77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105"/>
    </row>
    <row r="178" spans="1:12" s="63" customFormat="1" x14ac:dyDescent="0.25">
      <c r="A178" s="77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105"/>
    </row>
    <row r="179" spans="1:12" s="63" customFormat="1" x14ac:dyDescent="0.25">
      <c r="A179" s="77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105"/>
    </row>
    <row r="180" spans="1:12" s="63" customFormat="1" x14ac:dyDescent="0.25">
      <c r="A180" s="77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105"/>
    </row>
    <row r="181" spans="1:12" s="63" customFormat="1" x14ac:dyDescent="0.25">
      <c r="A181" s="77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105"/>
    </row>
    <row r="182" spans="1:12" s="63" customFormat="1" x14ac:dyDescent="0.25">
      <c r="A182" s="77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105"/>
    </row>
    <row r="183" spans="1:12" s="63" customFormat="1" x14ac:dyDescent="0.25">
      <c r="A183" s="77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105"/>
    </row>
    <row r="184" spans="1:12" s="63" customFormat="1" x14ac:dyDescent="0.25">
      <c r="A184" s="77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105"/>
    </row>
    <row r="185" spans="1:12" s="63" customFormat="1" x14ac:dyDescent="0.25">
      <c r="A185" s="77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105"/>
    </row>
    <row r="186" spans="1:12" s="63" customFormat="1" x14ac:dyDescent="0.25">
      <c r="A186" s="77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105"/>
    </row>
    <row r="187" spans="1:12" s="63" customFormat="1" x14ac:dyDescent="0.25">
      <c r="A187" s="77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105"/>
    </row>
    <row r="188" spans="1:12" s="63" customFormat="1" x14ac:dyDescent="0.25">
      <c r="A188" s="77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105"/>
    </row>
    <row r="189" spans="1:12" s="63" customFormat="1" x14ac:dyDescent="0.25">
      <c r="A189" s="77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105"/>
    </row>
    <row r="190" spans="1:12" s="63" customFormat="1" x14ac:dyDescent="0.25">
      <c r="A190" s="77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105"/>
    </row>
    <row r="191" spans="1:12" s="63" customFormat="1" x14ac:dyDescent="0.25">
      <c r="A191" s="77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105"/>
    </row>
    <row r="192" spans="1:12" s="63" customFormat="1" x14ac:dyDescent="0.25">
      <c r="A192" s="77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105"/>
    </row>
    <row r="193" spans="1:12" s="63" customFormat="1" x14ac:dyDescent="0.25">
      <c r="A193" s="77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105"/>
    </row>
    <row r="194" spans="1:12" s="63" customFormat="1" x14ac:dyDescent="0.25">
      <c r="A194" s="77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105"/>
    </row>
    <row r="195" spans="1:12" s="63" customFormat="1" x14ac:dyDescent="0.25">
      <c r="A195" s="77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105"/>
    </row>
    <row r="196" spans="1:12" s="63" customFormat="1" x14ac:dyDescent="0.25">
      <c r="A196" s="77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105"/>
    </row>
    <row r="197" spans="1:12" s="63" customFormat="1" x14ac:dyDescent="0.25">
      <c r="A197" s="77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105"/>
    </row>
    <row r="198" spans="1:12" s="63" customFormat="1" x14ac:dyDescent="0.25">
      <c r="A198" s="77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105"/>
    </row>
    <row r="199" spans="1:12" s="63" customFormat="1" x14ac:dyDescent="0.25">
      <c r="A199" s="77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105"/>
    </row>
    <row r="200" spans="1:12" s="63" customFormat="1" x14ac:dyDescent="0.25">
      <c r="A200" s="77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105"/>
    </row>
    <row r="201" spans="1:12" s="63" customFormat="1" x14ac:dyDescent="0.25">
      <c r="A201" s="77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105"/>
    </row>
    <row r="202" spans="1:12" s="63" customFormat="1" x14ac:dyDescent="0.25">
      <c r="A202" s="77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105"/>
    </row>
    <row r="203" spans="1:12" s="63" customFormat="1" x14ac:dyDescent="0.25">
      <c r="A203" s="77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105"/>
    </row>
    <row r="204" spans="1:12" s="63" customFormat="1" x14ac:dyDescent="0.25">
      <c r="A204" s="77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105"/>
    </row>
    <row r="205" spans="1:12" s="63" customFormat="1" x14ac:dyDescent="0.25">
      <c r="A205" s="77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105"/>
    </row>
    <row r="206" spans="1:12" s="63" customFormat="1" x14ac:dyDescent="0.25">
      <c r="A206" s="77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105"/>
    </row>
    <row r="207" spans="1:12" s="63" customFormat="1" x14ac:dyDescent="0.25">
      <c r="A207" s="77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105"/>
    </row>
    <row r="208" spans="1:12" s="63" customFormat="1" x14ac:dyDescent="0.25">
      <c r="A208" s="77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105"/>
    </row>
    <row r="209" spans="1:12" s="63" customFormat="1" x14ac:dyDescent="0.25">
      <c r="A209" s="77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105"/>
    </row>
    <row r="210" spans="1:12" s="63" customFormat="1" x14ac:dyDescent="0.25">
      <c r="A210" s="77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105"/>
    </row>
    <row r="211" spans="1:12" s="63" customFormat="1" x14ac:dyDescent="0.25">
      <c r="A211" s="77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105"/>
    </row>
    <row r="212" spans="1:12" s="63" customFormat="1" x14ac:dyDescent="0.25">
      <c r="A212" s="77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105"/>
    </row>
    <row r="213" spans="1:12" s="63" customFormat="1" x14ac:dyDescent="0.25">
      <c r="A213" s="77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105"/>
    </row>
    <row r="214" spans="1:12" s="63" customFormat="1" x14ac:dyDescent="0.25">
      <c r="A214" s="77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105"/>
    </row>
    <row r="215" spans="1:12" s="63" customFormat="1" x14ac:dyDescent="0.25">
      <c r="A215" s="77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105"/>
    </row>
    <row r="216" spans="1:12" s="63" customFormat="1" x14ac:dyDescent="0.25">
      <c r="A216" s="77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105"/>
    </row>
    <row r="217" spans="1:12" s="63" customFormat="1" x14ac:dyDescent="0.25">
      <c r="A217" s="77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105"/>
    </row>
    <row r="218" spans="1:12" s="63" customFormat="1" x14ac:dyDescent="0.25">
      <c r="A218" s="77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105"/>
    </row>
    <row r="219" spans="1:12" s="63" customFormat="1" x14ac:dyDescent="0.25">
      <c r="A219" s="77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105"/>
    </row>
    <row r="220" spans="1:12" s="63" customFormat="1" x14ac:dyDescent="0.25">
      <c r="A220" s="77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105"/>
    </row>
    <row r="221" spans="1:12" s="63" customFormat="1" x14ac:dyDescent="0.25">
      <c r="A221" s="77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105"/>
    </row>
    <row r="222" spans="1:12" s="63" customFormat="1" x14ac:dyDescent="0.25">
      <c r="A222" s="77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105"/>
    </row>
    <row r="223" spans="1:12" s="63" customFormat="1" x14ac:dyDescent="0.25">
      <c r="A223" s="77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105"/>
    </row>
    <row r="224" spans="1:12" s="63" customFormat="1" x14ac:dyDescent="0.25">
      <c r="A224" s="77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105"/>
    </row>
    <row r="225" spans="1:12" s="63" customFormat="1" x14ac:dyDescent="0.25">
      <c r="A225" s="77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105"/>
    </row>
  </sheetData>
  <mergeCells count="31">
    <mergeCell ref="B105:E105"/>
    <mergeCell ref="B107:E107"/>
    <mergeCell ref="D17:E17"/>
    <mergeCell ref="G17:H17"/>
    <mergeCell ref="G20:H20"/>
    <mergeCell ref="D64:E64"/>
    <mergeCell ref="B101:E101"/>
    <mergeCell ref="B103:E103"/>
    <mergeCell ref="D16:E16"/>
    <mergeCell ref="G8:H8"/>
    <mergeCell ref="C9:F9"/>
    <mergeCell ref="G9:H9"/>
    <mergeCell ref="D10:E10"/>
    <mergeCell ref="G10:H10"/>
    <mergeCell ref="D11:E11"/>
    <mergeCell ref="G11:H11"/>
    <mergeCell ref="D12:E12"/>
    <mergeCell ref="G12:H12"/>
    <mergeCell ref="D13:E13"/>
    <mergeCell ref="D14:E14"/>
    <mergeCell ref="D15:E15"/>
    <mergeCell ref="B2:I2"/>
    <mergeCell ref="B3:I3"/>
    <mergeCell ref="B4:I4"/>
    <mergeCell ref="B5:I5"/>
    <mergeCell ref="B6:B8"/>
    <mergeCell ref="C6:F6"/>
    <mergeCell ref="G6:H6"/>
    <mergeCell ref="C7:F7"/>
    <mergeCell ref="G7:H7"/>
    <mergeCell ref="C8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portrait" r:id="rId1"/>
  <rowBreaks count="1" manualBreakCount="1">
    <brk id="107" max="16383" man="1"/>
  </rowBreaks>
  <colBreaks count="1" manualBreakCount="1">
    <brk id="1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</sheetPr>
  <dimension ref="A2:Y221"/>
  <sheetViews>
    <sheetView workbookViewId="0"/>
  </sheetViews>
  <sheetFormatPr baseColWidth="10" defaultRowHeight="14.25" x14ac:dyDescent="0.2"/>
  <cols>
    <col min="1" max="1" width="8.5703125" style="60" customWidth="1"/>
    <col min="2" max="2" width="25.140625" style="61" customWidth="1"/>
    <col min="3" max="3" width="11.42578125" style="61" bestFit="1" customWidth="1"/>
    <col min="4" max="4" width="13.42578125" style="61" bestFit="1" customWidth="1"/>
    <col min="5" max="5" width="16.140625" style="61" bestFit="1" customWidth="1"/>
    <col min="6" max="6" width="16.42578125" style="61" customWidth="1"/>
    <col min="7" max="7" width="10.5703125" style="61" customWidth="1"/>
    <col min="8" max="8" width="10.5703125" style="61" hidden="1" customWidth="1"/>
    <col min="9" max="9" width="22" style="83" bestFit="1" customWidth="1"/>
    <col min="10" max="10" width="25" style="61" bestFit="1" customWidth="1"/>
    <col min="11" max="11" width="18.5703125" style="62" bestFit="1" customWidth="1"/>
    <col min="12" max="12" width="24.5703125" style="105" customWidth="1"/>
    <col min="13" max="13" width="19.5703125" style="63" bestFit="1" customWidth="1"/>
    <col min="14" max="14" width="21.42578125" style="63" customWidth="1"/>
    <col min="15" max="16" width="11.42578125" style="63" customWidth="1"/>
    <col min="17" max="17" width="5.140625" style="63" customWidth="1"/>
    <col min="18" max="18" width="11.42578125" style="64"/>
    <col min="19" max="25" width="11.42578125" style="63"/>
    <col min="26" max="257" width="11.42578125" style="61"/>
    <col min="258" max="258" width="6" style="61" customWidth="1"/>
    <col min="259" max="259" width="49.5703125" style="61" customWidth="1"/>
    <col min="260" max="260" width="9.42578125" style="61" customWidth="1"/>
    <col min="261" max="261" width="11.5703125" style="61" bestFit="1" customWidth="1"/>
    <col min="262" max="262" width="15.5703125" style="61" customWidth="1"/>
    <col min="263" max="263" width="15.42578125" style="61" customWidth="1"/>
    <col min="264" max="264" width="16.42578125" style="61" bestFit="1" customWidth="1"/>
    <col min="265" max="265" width="23.42578125" style="61" customWidth="1"/>
    <col min="266" max="266" width="16.140625" style="61" bestFit="1" customWidth="1"/>
    <col min="267" max="273" width="0" style="61" hidden="1" customWidth="1"/>
    <col min="274" max="274" width="17.42578125" style="61" bestFit="1" customWidth="1"/>
    <col min="275" max="513" width="11.42578125" style="61"/>
    <col min="514" max="514" width="6" style="61" customWidth="1"/>
    <col min="515" max="515" width="49.5703125" style="61" customWidth="1"/>
    <col min="516" max="516" width="9.42578125" style="61" customWidth="1"/>
    <col min="517" max="517" width="11.5703125" style="61" bestFit="1" customWidth="1"/>
    <col min="518" max="518" width="15.5703125" style="61" customWidth="1"/>
    <col min="519" max="519" width="15.42578125" style="61" customWidth="1"/>
    <col min="520" max="520" width="16.42578125" style="61" bestFit="1" customWidth="1"/>
    <col min="521" max="521" width="23.42578125" style="61" customWidth="1"/>
    <col min="522" max="522" width="16.140625" style="61" bestFit="1" customWidth="1"/>
    <col min="523" max="529" width="0" style="61" hidden="1" customWidth="1"/>
    <col min="530" max="530" width="17.42578125" style="61" bestFit="1" customWidth="1"/>
    <col min="531" max="769" width="11.42578125" style="61"/>
    <col min="770" max="770" width="6" style="61" customWidth="1"/>
    <col min="771" max="771" width="49.5703125" style="61" customWidth="1"/>
    <col min="772" max="772" width="9.42578125" style="61" customWidth="1"/>
    <col min="773" max="773" width="11.5703125" style="61" bestFit="1" customWidth="1"/>
    <col min="774" max="774" width="15.5703125" style="61" customWidth="1"/>
    <col min="775" max="775" width="15.42578125" style="61" customWidth="1"/>
    <col min="776" max="776" width="16.42578125" style="61" bestFit="1" customWidth="1"/>
    <col min="777" max="777" width="23.42578125" style="61" customWidth="1"/>
    <col min="778" max="778" width="16.140625" style="61" bestFit="1" customWidth="1"/>
    <col min="779" max="785" width="0" style="61" hidden="1" customWidth="1"/>
    <col min="786" max="786" width="17.42578125" style="61" bestFit="1" customWidth="1"/>
    <col min="787" max="1025" width="11.42578125" style="61"/>
    <col min="1026" max="1026" width="6" style="61" customWidth="1"/>
    <col min="1027" max="1027" width="49.5703125" style="61" customWidth="1"/>
    <col min="1028" max="1028" width="9.42578125" style="61" customWidth="1"/>
    <col min="1029" max="1029" width="11.5703125" style="61" bestFit="1" customWidth="1"/>
    <col min="1030" max="1030" width="15.5703125" style="61" customWidth="1"/>
    <col min="1031" max="1031" width="15.42578125" style="61" customWidth="1"/>
    <col min="1032" max="1032" width="16.42578125" style="61" bestFit="1" customWidth="1"/>
    <col min="1033" max="1033" width="23.42578125" style="61" customWidth="1"/>
    <col min="1034" max="1034" width="16.140625" style="61" bestFit="1" customWidth="1"/>
    <col min="1035" max="1041" width="0" style="61" hidden="1" customWidth="1"/>
    <col min="1042" max="1042" width="17.42578125" style="61" bestFit="1" customWidth="1"/>
    <col min="1043" max="1281" width="11.42578125" style="61"/>
    <col min="1282" max="1282" width="6" style="61" customWidth="1"/>
    <col min="1283" max="1283" width="49.5703125" style="61" customWidth="1"/>
    <col min="1284" max="1284" width="9.42578125" style="61" customWidth="1"/>
    <col min="1285" max="1285" width="11.5703125" style="61" bestFit="1" customWidth="1"/>
    <col min="1286" max="1286" width="15.5703125" style="61" customWidth="1"/>
    <col min="1287" max="1287" width="15.42578125" style="61" customWidth="1"/>
    <col min="1288" max="1288" width="16.42578125" style="61" bestFit="1" customWidth="1"/>
    <col min="1289" max="1289" width="23.42578125" style="61" customWidth="1"/>
    <col min="1290" max="1290" width="16.140625" style="61" bestFit="1" customWidth="1"/>
    <col min="1291" max="1297" width="0" style="61" hidden="1" customWidth="1"/>
    <col min="1298" max="1298" width="17.42578125" style="61" bestFit="1" customWidth="1"/>
    <col min="1299" max="1537" width="11.42578125" style="61"/>
    <col min="1538" max="1538" width="6" style="61" customWidth="1"/>
    <col min="1539" max="1539" width="49.5703125" style="61" customWidth="1"/>
    <col min="1540" max="1540" width="9.42578125" style="61" customWidth="1"/>
    <col min="1541" max="1541" width="11.5703125" style="61" bestFit="1" customWidth="1"/>
    <col min="1542" max="1542" width="15.5703125" style="61" customWidth="1"/>
    <col min="1543" max="1543" width="15.42578125" style="61" customWidth="1"/>
    <col min="1544" max="1544" width="16.42578125" style="61" bestFit="1" customWidth="1"/>
    <col min="1545" max="1545" width="23.42578125" style="61" customWidth="1"/>
    <col min="1546" max="1546" width="16.140625" style="61" bestFit="1" customWidth="1"/>
    <col min="1547" max="1553" width="0" style="61" hidden="1" customWidth="1"/>
    <col min="1554" max="1554" width="17.42578125" style="61" bestFit="1" customWidth="1"/>
    <col min="1555" max="1793" width="11.42578125" style="61"/>
    <col min="1794" max="1794" width="6" style="61" customWidth="1"/>
    <col min="1795" max="1795" width="49.5703125" style="61" customWidth="1"/>
    <col min="1796" max="1796" width="9.42578125" style="61" customWidth="1"/>
    <col min="1797" max="1797" width="11.5703125" style="61" bestFit="1" customWidth="1"/>
    <col min="1798" max="1798" width="15.5703125" style="61" customWidth="1"/>
    <col min="1799" max="1799" width="15.42578125" style="61" customWidth="1"/>
    <col min="1800" max="1800" width="16.42578125" style="61" bestFit="1" customWidth="1"/>
    <col min="1801" max="1801" width="23.42578125" style="61" customWidth="1"/>
    <col min="1802" max="1802" width="16.140625" style="61" bestFit="1" customWidth="1"/>
    <col min="1803" max="1809" width="0" style="61" hidden="1" customWidth="1"/>
    <col min="1810" max="1810" width="17.42578125" style="61" bestFit="1" customWidth="1"/>
    <col min="1811" max="2049" width="11.42578125" style="61"/>
    <col min="2050" max="2050" width="6" style="61" customWidth="1"/>
    <col min="2051" max="2051" width="49.5703125" style="61" customWidth="1"/>
    <col min="2052" max="2052" width="9.42578125" style="61" customWidth="1"/>
    <col min="2053" max="2053" width="11.5703125" style="61" bestFit="1" customWidth="1"/>
    <col min="2054" max="2054" width="15.5703125" style="61" customWidth="1"/>
    <col min="2055" max="2055" width="15.42578125" style="61" customWidth="1"/>
    <col min="2056" max="2056" width="16.42578125" style="61" bestFit="1" customWidth="1"/>
    <col min="2057" max="2057" width="23.42578125" style="61" customWidth="1"/>
    <col min="2058" max="2058" width="16.140625" style="61" bestFit="1" customWidth="1"/>
    <col min="2059" max="2065" width="0" style="61" hidden="1" customWidth="1"/>
    <col min="2066" max="2066" width="17.42578125" style="61" bestFit="1" customWidth="1"/>
    <col min="2067" max="2305" width="11.42578125" style="61"/>
    <col min="2306" max="2306" width="6" style="61" customWidth="1"/>
    <col min="2307" max="2307" width="49.5703125" style="61" customWidth="1"/>
    <col min="2308" max="2308" width="9.42578125" style="61" customWidth="1"/>
    <col min="2309" max="2309" width="11.5703125" style="61" bestFit="1" customWidth="1"/>
    <col min="2310" max="2310" width="15.5703125" style="61" customWidth="1"/>
    <col min="2311" max="2311" width="15.42578125" style="61" customWidth="1"/>
    <col min="2312" max="2312" width="16.42578125" style="61" bestFit="1" customWidth="1"/>
    <col min="2313" max="2313" width="23.42578125" style="61" customWidth="1"/>
    <col min="2314" max="2314" width="16.140625" style="61" bestFit="1" customWidth="1"/>
    <col min="2315" max="2321" width="0" style="61" hidden="1" customWidth="1"/>
    <col min="2322" max="2322" width="17.42578125" style="61" bestFit="1" customWidth="1"/>
    <col min="2323" max="2561" width="11.42578125" style="61"/>
    <col min="2562" max="2562" width="6" style="61" customWidth="1"/>
    <col min="2563" max="2563" width="49.5703125" style="61" customWidth="1"/>
    <col min="2564" max="2564" width="9.42578125" style="61" customWidth="1"/>
    <col min="2565" max="2565" width="11.5703125" style="61" bestFit="1" customWidth="1"/>
    <col min="2566" max="2566" width="15.5703125" style="61" customWidth="1"/>
    <col min="2567" max="2567" width="15.42578125" style="61" customWidth="1"/>
    <col min="2568" max="2568" width="16.42578125" style="61" bestFit="1" customWidth="1"/>
    <col min="2569" max="2569" width="23.42578125" style="61" customWidth="1"/>
    <col min="2570" max="2570" width="16.140625" style="61" bestFit="1" customWidth="1"/>
    <col min="2571" max="2577" width="0" style="61" hidden="1" customWidth="1"/>
    <col min="2578" max="2578" width="17.42578125" style="61" bestFit="1" customWidth="1"/>
    <col min="2579" max="2817" width="11.42578125" style="61"/>
    <col min="2818" max="2818" width="6" style="61" customWidth="1"/>
    <col min="2819" max="2819" width="49.5703125" style="61" customWidth="1"/>
    <col min="2820" max="2820" width="9.42578125" style="61" customWidth="1"/>
    <col min="2821" max="2821" width="11.5703125" style="61" bestFit="1" customWidth="1"/>
    <col min="2822" max="2822" width="15.5703125" style="61" customWidth="1"/>
    <col min="2823" max="2823" width="15.42578125" style="61" customWidth="1"/>
    <col min="2824" max="2824" width="16.42578125" style="61" bestFit="1" customWidth="1"/>
    <col min="2825" max="2825" width="23.42578125" style="61" customWidth="1"/>
    <col min="2826" max="2826" width="16.140625" style="61" bestFit="1" customWidth="1"/>
    <col min="2827" max="2833" width="0" style="61" hidden="1" customWidth="1"/>
    <col min="2834" max="2834" width="17.42578125" style="61" bestFit="1" customWidth="1"/>
    <col min="2835" max="3073" width="11.42578125" style="61"/>
    <col min="3074" max="3074" width="6" style="61" customWidth="1"/>
    <col min="3075" max="3075" width="49.5703125" style="61" customWidth="1"/>
    <col min="3076" max="3076" width="9.42578125" style="61" customWidth="1"/>
    <col min="3077" max="3077" width="11.5703125" style="61" bestFit="1" customWidth="1"/>
    <col min="3078" max="3078" width="15.5703125" style="61" customWidth="1"/>
    <col min="3079" max="3079" width="15.42578125" style="61" customWidth="1"/>
    <col min="3080" max="3080" width="16.42578125" style="61" bestFit="1" customWidth="1"/>
    <col min="3081" max="3081" width="23.42578125" style="61" customWidth="1"/>
    <col min="3082" max="3082" width="16.140625" style="61" bestFit="1" customWidth="1"/>
    <col min="3083" max="3089" width="0" style="61" hidden="1" customWidth="1"/>
    <col min="3090" max="3090" width="17.42578125" style="61" bestFit="1" customWidth="1"/>
    <col min="3091" max="3329" width="11.42578125" style="61"/>
    <col min="3330" max="3330" width="6" style="61" customWidth="1"/>
    <col min="3331" max="3331" width="49.5703125" style="61" customWidth="1"/>
    <col min="3332" max="3332" width="9.42578125" style="61" customWidth="1"/>
    <col min="3333" max="3333" width="11.5703125" style="61" bestFit="1" customWidth="1"/>
    <col min="3334" max="3334" width="15.5703125" style="61" customWidth="1"/>
    <col min="3335" max="3335" width="15.42578125" style="61" customWidth="1"/>
    <col min="3336" max="3336" width="16.42578125" style="61" bestFit="1" customWidth="1"/>
    <col min="3337" max="3337" width="23.42578125" style="61" customWidth="1"/>
    <col min="3338" max="3338" width="16.140625" style="61" bestFit="1" customWidth="1"/>
    <col min="3339" max="3345" width="0" style="61" hidden="1" customWidth="1"/>
    <col min="3346" max="3346" width="17.42578125" style="61" bestFit="1" customWidth="1"/>
    <col min="3347" max="3585" width="11.42578125" style="61"/>
    <col min="3586" max="3586" width="6" style="61" customWidth="1"/>
    <col min="3587" max="3587" width="49.5703125" style="61" customWidth="1"/>
    <col min="3588" max="3588" width="9.42578125" style="61" customWidth="1"/>
    <col min="3589" max="3589" width="11.5703125" style="61" bestFit="1" customWidth="1"/>
    <col min="3590" max="3590" width="15.5703125" style="61" customWidth="1"/>
    <col min="3591" max="3591" width="15.42578125" style="61" customWidth="1"/>
    <col min="3592" max="3592" width="16.42578125" style="61" bestFit="1" customWidth="1"/>
    <col min="3593" max="3593" width="23.42578125" style="61" customWidth="1"/>
    <col min="3594" max="3594" width="16.140625" style="61" bestFit="1" customWidth="1"/>
    <col min="3595" max="3601" width="0" style="61" hidden="1" customWidth="1"/>
    <col min="3602" max="3602" width="17.42578125" style="61" bestFit="1" customWidth="1"/>
    <col min="3603" max="3841" width="11.42578125" style="61"/>
    <col min="3842" max="3842" width="6" style="61" customWidth="1"/>
    <col min="3843" max="3843" width="49.5703125" style="61" customWidth="1"/>
    <col min="3844" max="3844" width="9.42578125" style="61" customWidth="1"/>
    <col min="3845" max="3845" width="11.5703125" style="61" bestFit="1" customWidth="1"/>
    <col min="3846" max="3846" width="15.5703125" style="61" customWidth="1"/>
    <col min="3847" max="3847" width="15.42578125" style="61" customWidth="1"/>
    <col min="3848" max="3848" width="16.42578125" style="61" bestFit="1" customWidth="1"/>
    <col min="3849" max="3849" width="23.42578125" style="61" customWidth="1"/>
    <col min="3850" max="3850" width="16.140625" style="61" bestFit="1" customWidth="1"/>
    <col min="3851" max="3857" width="0" style="61" hidden="1" customWidth="1"/>
    <col min="3858" max="3858" width="17.42578125" style="61" bestFit="1" customWidth="1"/>
    <col min="3859" max="4097" width="11.42578125" style="61"/>
    <col min="4098" max="4098" width="6" style="61" customWidth="1"/>
    <col min="4099" max="4099" width="49.5703125" style="61" customWidth="1"/>
    <col min="4100" max="4100" width="9.42578125" style="61" customWidth="1"/>
    <col min="4101" max="4101" width="11.5703125" style="61" bestFit="1" customWidth="1"/>
    <col min="4102" max="4102" width="15.5703125" style="61" customWidth="1"/>
    <col min="4103" max="4103" width="15.42578125" style="61" customWidth="1"/>
    <col min="4104" max="4104" width="16.42578125" style="61" bestFit="1" customWidth="1"/>
    <col min="4105" max="4105" width="23.42578125" style="61" customWidth="1"/>
    <col min="4106" max="4106" width="16.140625" style="61" bestFit="1" customWidth="1"/>
    <col min="4107" max="4113" width="0" style="61" hidden="1" customWidth="1"/>
    <col min="4114" max="4114" width="17.42578125" style="61" bestFit="1" customWidth="1"/>
    <col min="4115" max="4353" width="11.42578125" style="61"/>
    <col min="4354" max="4354" width="6" style="61" customWidth="1"/>
    <col min="4355" max="4355" width="49.5703125" style="61" customWidth="1"/>
    <col min="4356" max="4356" width="9.42578125" style="61" customWidth="1"/>
    <col min="4357" max="4357" width="11.5703125" style="61" bestFit="1" customWidth="1"/>
    <col min="4358" max="4358" width="15.5703125" style="61" customWidth="1"/>
    <col min="4359" max="4359" width="15.42578125" style="61" customWidth="1"/>
    <col min="4360" max="4360" width="16.42578125" style="61" bestFit="1" customWidth="1"/>
    <col min="4361" max="4361" width="23.42578125" style="61" customWidth="1"/>
    <col min="4362" max="4362" width="16.140625" style="61" bestFit="1" customWidth="1"/>
    <col min="4363" max="4369" width="0" style="61" hidden="1" customWidth="1"/>
    <col min="4370" max="4370" width="17.42578125" style="61" bestFit="1" customWidth="1"/>
    <col min="4371" max="4609" width="11.42578125" style="61"/>
    <col min="4610" max="4610" width="6" style="61" customWidth="1"/>
    <col min="4611" max="4611" width="49.5703125" style="61" customWidth="1"/>
    <col min="4612" max="4612" width="9.42578125" style="61" customWidth="1"/>
    <col min="4613" max="4613" width="11.5703125" style="61" bestFit="1" customWidth="1"/>
    <col min="4614" max="4614" width="15.5703125" style="61" customWidth="1"/>
    <col min="4615" max="4615" width="15.42578125" style="61" customWidth="1"/>
    <col min="4616" max="4616" width="16.42578125" style="61" bestFit="1" customWidth="1"/>
    <col min="4617" max="4617" width="23.42578125" style="61" customWidth="1"/>
    <col min="4618" max="4618" width="16.140625" style="61" bestFit="1" customWidth="1"/>
    <col min="4619" max="4625" width="0" style="61" hidden="1" customWidth="1"/>
    <col min="4626" max="4626" width="17.42578125" style="61" bestFit="1" customWidth="1"/>
    <col min="4627" max="4865" width="11.42578125" style="61"/>
    <col min="4866" max="4866" width="6" style="61" customWidth="1"/>
    <col min="4867" max="4867" width="49.5703125" style="61" customWidth="1"/>
    <col min="4868" max="4868" width="9.42578125" style="61" customWidth="1"/>
    <col min="4869" max="4869" width="11.5703125" style="61" bestFit="1" customWidth="1"/>
    <col min="4870" max="4870" width="15.5703125" style="61" customWidth="1"/>
    <col min="4871" max="4871" width="15.42578125" style="61" customWidth="1"/>
    <col min="4872" max="4872" width="16.42578125" style="61" bestFit="1" customWidth="1"/>
    <col min="4873" max="4873" width="23.42578125" style="61" customWidth="1"/>
    <col min="4874" max="4874" width="16.140625" style="61" bestFit="1" customWidth="1"/>
    <col min="4875" max="4881" width="0" style="61" hidden="1" customWidth="1"/>
    <col min="4882" max="4882" width="17.42578125" style="61" bestFit="1" customWidth="1"/>
    <col min="4883" max="5121" width="11.42578125" style="61"/>
    <col min="5122" max="5122" width="6" style="61" customWidth="1"/>
    <col min="5123" max="5123" width="49.5703125" style="61" customWidth="1"/>
    <col min="5124" max="5124" width="9.42578125" style="61" customWidth="1"/>
    <col min="5125" max="5125" width="11.5703125" style="61" bestFit="1" customWidth="1"/>
    <col min="5126" max="5126" width="15.5703125" style="61" customWidth="1"/>
    <col min="5127" max="5127" width="15.42578125" style="61" customWidth="1"/>
    <col min="5128" max="5128" width="16.42578125" style="61" bestFit="1" customWidth="1"/>
    <col min="5129" max="5129" width="23.42578125" style="61" customWidth="1"/>
    <col min="5130" max="5130" width="16.140625" style="61" bestFit="1" customWidth="1"/>
    <col min="5131" max="5137" width="0" style="61" hidden="1" customWidth="1"/>
    <col min="5138" max="5138" width="17.42578125" style="61" bestFit="1" customWidth="1"/>
    <col min="5139" max="5377" width="11.42578125" style="61"/>
    <col min="5378" max="5378" width="6" style="61" customWidth="1"/>
    <col min="5379" max="5379" width="49.5703125" style="61" customWidth="1"/>
    <col min="5380" max="5380" width="9.42578125" style="61" customWidth="1"/>
    <col min="5381" max="5381" width="11.5703125" style="61" bestFit="1" customWidth="1"/>
    <col min="5382" max="5382" width="15.5703125" style="61" customWidth="1"/>
    <col min="5383" max="5383" width="15.42578125" style="61" customWidth="1"/>
    <col min="5384" max="5384" width="16.42578125" style="61" bestFit="1" customWidth="1"/>
    <col min="5385" max="5385" width="23.42578125" style="61" customWidth="1"/>
    <col min="5386" max="5386" width="16.140625" style="61" bestFit="1" customWidth="1"/>
    <col min="5387" max="5393" width="0" style="61" hidden="1" customWidth="1"/>
    <col min="5394" max="5394" width="17.42578125" style="61" bestFit="1" customWidth="1"/>
    <col min="5395" max="5633" width="11.42578125" style="61"/>
    <col min="5634" max="5634" width="6" style="61" customWidth="1"/>
    <col min="5635" max="5635" width="49.5703125" style="61" customWidth="1"/>
    <col min="5636" max="5636" width="9.42578125" style="61" customWidth="1"/>
    <col min="5637" max="5637" width="11.5703125" style="61" bestFit="1" customWidth="1"/>
    <col min="5638" max="5638" width="15.5703125" style="61" customWidth="1"/>
    <col min="5639" max="5639" width="15.42578125" style="61" customWidth="1"/>
    <col min="5640" max="5640" width="16.42578125" style="61" bestFit="1" customWidth="1"/>
    <col min="5641" max="5641" width="23.42578125" style="61" customWidth="1"/>
    <col min="5642" max="5642" width="16.140625" style="61" bestFit="1" customWidth="1"/>
    <col min="5643" max="5649" width="0" style="61" hidden="1" customWidth="1"/>
    <col min="5650" max="5650" width="17.42578125" style="61" bestFit="1" customWidth="1"/>
    <col min="5651" max="5889" width="11.42578125" style="61"/>
    <col min="5890" max="5890" width="6" style="61" customWidth="1"/>
    <col min="5891" max="5891" width="49.5703125" style="61" customWidth="1"/>
    <col min="5892" max="5892" width="9.42578125" style="61" customWidth="1"/>
    <col min="5893" max="5893" width="11.5703125" style="61" bestFit="1" customWidth="1"/>
    <col min="5894" max="5894" width="15.5703125" style="61" customWidth="1"/>
    <col min="5895" max="5895" width="15.42578125" style="61" customWidth="1"/>
    <col min="5896" max="5896" width="16.42578125" style="61" bestFit="1" customWidth="1"/>
    <col min="5897" max="5897" width="23.42578125" style="61" customWidth="1"/>
    <col min="5898" max="5898" width="16.140625" style="61" bestFit="1" customWidth="1"/>
    <col min="5899" max="5905" width="0" style="61" hidden="1" customWidth="1"/>
    <col min="5906" max="5906" width="17.42578125" style="61" bestFit="1" customWidth="1"/>
    <col min="5907" max="6145" width="11.42578125" style="61"/>
    <col min="6146" max="6146" width="6" style="61" customWidth="1"/>
    <col min="6147" max="6147" width="49.5703125" style="61" customWidth="1"/>
    <col min="6148" max="6148" width="9.42578125" style="61" customWidth="1"/>
    <col min="6149" max="6149" width="11.5703125" style="61" bestFit="1" customWidth="1"/>
    <col min="6150" max="6150" width="15.5703125" style="61" customWidth="1"/>
    <col min="6151" max="6151" width="15.42578125" style="61" customWidth="1"/>
    <col min="6152" max="6152" width="16.42578125" style="61" bestFit="1" customWidth="1"/>
    <col min="6153" max="6153" width="23.42578125" style="61" customWidth="1"/>
    <col min="6154" max="6154" width="16.140625" style="61" bestFit="1" customWidth="1"/>
    <col min="6155" max="6161" width="0" style="61" hidden="1" customWidth="1"/>
    <col min="6162" max="6162" width="17.42578125" style="61" bestFit="1" customWidth="1"/>
    <col min="6163" max="6401" width="11.42578125" style="61"/>
    <col min="6402" max="6402" width="6" style="61" customWidth="1"/>
    <col min="6403" max="6403" width="49.5703125" style="61" customWidth="1"/>
    <col min="6404" max="6404" width="9.42578125" style="61" customWidth="1"/>
    <col min="6405" max="6405" width="11.5703125" style="61" bestFit="1" customWidth="1"/>
    <col min="6406" max="6406" width="15.5703125" style="61" customWidth="1"/>
    <col min="6407" max="6407" width="15.42578125" style="61" customWidth="1"/>
    <col min="6408" max="6408" width="16.42578125" style="61" bestFit="1" customWidth="1"/>
    <col min="6409" max="6409" width="23.42578125" style="61" customWidth="1"/>
    <col min="6410" max="6410" width="16.140625" style="61" bestFit="1" customWidth="1"/>
    <col min="6411" max="6417" width="0" style="61" hidden="1" customWidth="1"/>
    <col min="6418" max="6418" width="17.42578125" style="61" bestFit="1" customWidth="1"/>
    <col min="6419" max="6657" width="11.42578125" style="61"/>
    <col min="6658" max="6658" width="6" style="61" customWidth="1"/>
    <col min="6659" max="6659" width="49.5703125" style="61" customWidth="1"/>
    <col min="6660" max="6660" width="9.42578125" style="61" customWidth="1"/>
    <col min="6661" max="6661" width="11.5703125" style="61" bestFit="1" customWidth="1"/>
    <col min="6662" max="6662" width="15.5703125" style="61" customWidth="1"/>
    <col min="6663" max="6663" width="15.42578125" style="61" customWidth="1"/>
    <col min="6664" max="6664" width="16.42578125" style="61" bestFit="1" customWidth="1"/>
    <col min="6665" max="6665" width="23.42578125" style="61" customWidth="1"/>
    <col min="6666" max="6666" width="16.140625" style="61" bestFit="1" customWidth="1"/>
    <col min="6667" max="6673" width="0" style="61" hidden="1" customWidth="1"/>
    <col min="6674" max="6674" width="17.42578125" style="61" bestFit="1" customWidth="1"/>
    <col min="6675" max="6913" width="11.42578125" style="61"/>
    <col min="6914" max="6914" width="6" style="61" customWidth="1"/>
    <col min="6915" max="6915" width="49.5703125" style="61" customWidth="1"/>
    <col min="6916" max="6916" width="9.42578125" style="61" customWidth="1"/>
    <col min="6917" max="6917" width="11.5703125" style="61" bestFit="1" customWidth="1"/>
    <col min="6918" max="6918" width="15.5703125" style="61" customWidth="1"/>
    <col min="6919" max="6919" width="15.42578125" style="61" customWidth="1"/>
    <col min="6920" max="6920" width="16.42578125" style="61" bestFit="1" customWidth="1"/>
    <col min="6921" max="6921" width="23.42578125" style="61" customWidth="1"/>
    <col min="6922" max="6922" width="16.140625" style="61" bestFit="1" customWidth="1"/>
    <col min="6923" max="6929" width="0" style="61" hidden="1" customWidth="1"/>
    <col min="6930" max="6930" width="17.42578125" style="61" bestFit="1" customWidth="1"/>
    <col min="6931" max="7169" width="11.42578125" style="61"/>
    <col min="7170" max="7170" width="6" style="61" customWidth="1"/>
    <col min="7171" max="7171" width="49.5703125" style="61" customWidth="1"/>
    <col min="7172" max="7172" width="9.42578125" style="61" customWidth="1"/>
    <col min="7173" max="7173" width="11.5703125" style="61" bestFit="1" customWidth="1"/>
    <col min="7174" max="7174" width="15.5703125" style="61" customWidth="1"/>
    <col min="7175" max="7175" width="15.42578125" style="61" customWidth="1"/>
    <col min="7176" max="7176" width="16.42578125" style="61" bestFit="1" customWidth="1"/>
    <col min="7177" max="7177" width="23.42578125" style="61" customWidth="1"/>
    <col min="7178" max="7178" width="16.140625" style="61" bestFit="1" customWidth="1"/>
    <col min="7179" max="7185" width="0" style="61" hidden="1" customWidth="1"/>
    <col min="7186" max="7186" width="17.42578125" style="61" bestFit="1" customWidth="1"/>
    <col min="7187" max="7425" width="11.42578125" style="61"/>
    <col min="7426" max="7426" width="6" style="61" customWidth="1"/>
    <col min="7427" max="7427" width="49.5703125" style="61" customWidth="1"/>
    <col min="7428" max="7428" width="9.42578125" style="61" customWidth="1"/>
    <col min="7429" max="7429" width="11.5703125" style="61" bestFit="1" customWidth="1"/>
    <col min="7430" max="7430" width="15.5703125" style="61" customWidth="1"/>
    <col min="7431" max="7431" width="15.42578125" style="61" customWidth="1"/>
    <col min="7432" max="7432" width="16.42578125" style="61" bestFit="1" customWidth="1"/>
    <col min="7433" max="7433" width="23.42578125" style="61" customWidth="1"/>
    <col min="7434" max="7434" width="16.140625" style="61" bestFit="1" customWidth="1"/>
    <col min="7435" max="7441" width="0" style="61" hidden="1" customWidth="1"/>
    <col min="7442" max="7442" width="17.42578125" style="61" bestFit="1" customWidth="1"/>
    <col min="7443" max="7681" width="11.42578125" style="61"/>
    <col min="7682" max="7682" width="6" style="61" customWidth="1"/>
    <col min="7683" max="7683" width="49.5703125" style="61" customWidth="1"/>
    <col min="7684" max="7684" width="9.42578125" style="61" customWidth="1"/>
    <col min="7685" max="7685" width="11.5703125" style="61" bestFit="1" customWidth="1"/>
    <col min="7686" max="7686" width="15.5703125" style="61" customWidth="1"/>
    <col min="7687" max="7687" width="15.42578125" style="61" customWidth="1"/>
    <col min="7688" max="7688" width="16.42578125" style="61" bestFit="1" customWidth="1"/>
    <col min="7689" max="7689" width="23.42578125" style="61" customWidth="1"/>
    <col min="7690" max="7690" width="16.140625" style="61" bestFit="1" customWidth="1"/>
    <col min="7691" max="7697" width="0" style="61" hidden="1" customWidth="1"/>
    <col min="7698" max="7698" width="17.42578125" style="61" bestFit="1" customWidth="1"/>
    <col min="7699" max="7937" width="11.42578125" style="61"/>
    <col min="7938" max="7938" width="6" style="61" customWidth="1"/>
    <col min="7939" max="7939" width="49.5703125" style="61" customWidth="1"/>
    <col min="7940" max="7940" width="9.42578125" style="61" customWidth="1"/>
    <col min="7941" max="7941" width="11.5703125" style="61" bestFit="1" customWidth="1"/>
    <col min="7942" max="7942" width="15.5703125" style="61" customWidth="1"/>
    <col min="7943" max="7943" width="15.42578125" style="61" customWidth="1"/>
    <col min="7944" max="7944" width="16.42578125" style="61" bestFit="1" customWidth="1"/>
    <col min="7945" max="7945" width="23.42578125" style="61" customWidth="1"/>
    <col min="7946" max="7946" width="16.140625" style="61" bestFit="1" customWidth="1"/>
    <col min="7947" max="7953" width="0" style="61" hidden="1" customWidth="1"/>
    <col min="7954" max="7954" width="17.42578125" style="61" bestFit="1" customWidth="1"/>
    <col min="7955" max="8193" width="11.42578125" style="61"/>
    <col min="8194" max="8194" width="6" style="61" customWidth="1"/>
    <col min="8195" max="8195" width="49.5703125" style="61" customWidth="1"/>
    <col min="8196" max="8196" width="9.42578125" style="61" customWidth="1"/>
    <col min="8197" max="8197" width="11.5703125" style="61" bestFit="1" customWidth="1"/>
    <col min="8198" max="8198" width="15.5703125" style="61" customWidth="1"/>
    <col min="8199" max="8199" width="15.42578125" style="61" customWidth="1"/>
    <col min="8200" max="8200" width="16.42578125" style="61" bestFit="1" customWidth="1"/>
    <col min="8201" max="8201" width="23.42578125" style="61" customWidth="1"/>
    <col min="8202" max="8202" width="16.140625" style="61" bestFit="1" customWidth="1"/>
    <col min="8203" max="8209" width="0" style="61" hidden="1" customWidth="1"/>
    <col min="8210" max="8210" width="17.42578125" style="61" bestFit="1" customWidth="1"/>
    <col min="8211" max="8449" width="11.42578125" style="61"/>
    <col min="8450" max="8450" width="6" style="61" customWidth="1"/>
    <col min="8451" max="8451" width="49.5703125" style="61" customWidth="1"/>
    <col min="8452" max="8452" width="9.42578125" style="61" customWidth="1"/>
    <col min="8453" max="8453" width="11.5703125" style="61" bestFit="1" customWidth="1"/>
    <col min="8454" max="8454" width="15.5703125" style="61" customWidth="1"/>
    <col min="8455" max="8455" width="15.42578125" style="61" customWidth="1"/>
    <col min="8456" max="8456" width="16.42578125" style="61" bestFit="1" customWidth="1"/>
    <col min="8457" max="8457" width="23.42578125" style="61" customWidth="1"/>
    <col min="8458" max="8458" width="16.140625" style="61" bestFit="1" customWidth="1"/>
    <col min="8459" max="8465" width="0" style="61" hidden="1" customWidth="1"/>
    <col min="8466" max="8466" width="17.42578125" style="61" bestFit="1" customWidth="1"/>
    <col min="8467" max="8705" width="11.42578125" style="61"/>
    <col min="8706" max="8706" width="6" style="61" customWidth="1"/>
    <col min="8707" max="8707" width="49.5703125" style="61" customWidth="1"/>
    <col min="8708" max="8708" width="9.42578125" style="61" customWidth="1"/>
    <col min="8709" max="8709" width="11.5703125" style="61" bestFit="1" customWidth="1"/>
    <col min="8710" max="8710" width="15.5703125" style="61" customWidth="1"/>
    <col min="8711" max="8711" width="15.42578125" style="61" customWidth="1"/>
    <col min="8712" max="8712" width="16.42578125" style="61" bestFit="1" customWidth="1"/>
    <col min="8713" max="8713" width="23.42578125" style="61" customWidth="1"/>
    <col min="8714" max="8714" width="16.140625" style="61" bestFit="1" customWidth="1"/>
    <col min="8715" max="8721" width="0" style="61" hidden="1" customWidth="1"/>
    <col min="8722" max="8722" width="17.42578125" style="61" bestFit="1" customWidth="1"/>
    <col min="8723" max="8961" width="11.42578125" style="61"/>
    <col min="8962" max="8962" width="6" style="61" customWidth="1"/>
    <col min="8963" max="8963" width="49.5703125" style="61" customWidth="1"/>
    <col min="8964" max="8964" width="9.42578125" style="61" customWidth="1"/>
    <col min="8965" max="8965" width="11.5703125" style="61" bestFit="1" customWidth="1"/>
    <col min="8966" max="8966" width="15.5703125" style="61" customWidth="1"/>
    <col min="8967" max="8967" width="15.42578125" style="61" customWidth="1"/>
    <col min="8968" max="8968" width="16.42578125" style="61" bestFit="1" customWidth="1"/>
    <col min="8969" max="8969" width="23.42578125" style="61" customWidth="1"/>
    <col min="8970" max="8970" width="16.140625" style="61" bestFit="1" customWidth="1"/>
    <col min="8971" max="8977" width="0" style="61" hidden="1" customWidth="1"/>
    <col min="8978" max="8978" width="17.42578125" style="61" bestFit="1" customWidth="1"/>
    <col min="8979" max="9217" width="11.42578125" style="61"/>
    <col min="9218" max="9218" width="6" style="61" customWidth="1"/>
    <col min="9219" max="9219" width="49.5703125" style="61" customWidth="1"/>
    <col min="9220" max="9220" width="9.42578125" style="61" customWidth="1"/>
    <col min="9221" max="9221" width="11.5703125" style="61" bestFit="1" customWidth="1"/>
    <col min="9222" max="9222" width="15.5703125" style="61" customWidth="1"/>
    <col min="9223" max="9223" width="15.42578125" style="61" customWidth="1"/>
    <col min="9224" max="9224" width="16.42578125" style="61" bestFit="1" customWidth="1"/>
    <col min="9225" max="9225" width="23.42578125" style="61" customWidth="1"/>
    <col min="9226" max="9226" width="16.140625" style="61" bestFit="1" customWidth="1"/>
    <col min="9227" max="9233" width="0" style="61" hidden="1" customWidth="1"/>
    <col min="9234" max="9234" width="17.42578125" style="61" bestFit="1" customWidth="1"/>
    <col min="9235" max="9473" width="11.42578125" style="61"/>
    <col min="9474" max="9474" width="6" style="61" customWidth="1"/>
    <col min="9475" max="9475" width="49.5703125" style="61" customWidth="1"/>
    <col min="9476" max="9476" width="9.42578125" style="61" customWidth="1"/>
    <col min="9477" max="9477" width="11.5703125" style="61" bestFit="1" customWidth="1"/>
    <col min="9478" max="9478" width="15.5703125" style="61" customWidth="1"/>
    <col min="9479" max="9479" width="15.42578125" style="61" customWidth="1"/>
    <col min="9480" max="9480" width="16.42578125" style="61" bestFit="1" customWidth="1"/>
    <col min="9481" max="9481" width="23.42578125" style="61" customWidth="1"/>
    <col min="9482" max="9482" width="16.140625" style="61" bestFit="1" customWidth="1"/>
    <col min="9483" max="9489" width="0" style="61" hidden="1" customWidth="1"/>
    <col min="9490" max="9490" width="17.42578125" style="61" bestFit="1" customWidth="1"/>
    <col min="9491" max="9729" width="11.42578125" style="61"/>
    <col min="9730" max="9730" width="6" style="61" customWidth="1"/>
    <col min="9731" max="9731" width="49.5703125" style="61" customWidth="1"/>
    <col min="9732" max="9732" width="9.42578125" style="61" customWidth="1"/>
    <col min="9733" max="9733" width="11.5703125" style="61" bestFit="1" customWidth="1"/>
    <col min="9734" max="9734" width="15.5703125" style="61" customWidth="1"/>
    <col min="9735" max="9735" width="15.42578125" style="61" customWidth="1"/>
    <col min="9736" max="9736" width="16.42578125" style="61" bestFit="1" customWidth="1"/>
    <col min="9737" max="9737" width="23.42578125" style="61" customWidth="1"/>
    <col min="9738" max="9738" width="16.140625" style="61" bestFit="1" customWidth="1"/>
    <col min="9739" max="9745" width="0" style="61" hidden="1" customWidth="1"/>
    <col min="9746" max="9746" width="17.42578125" style="61" bestFit="1" customWidth="1"/>
    <col min="9747" max="9985" width="11.42578125" style="61"/>
    <col min="9986" max="9986" width="6" style="61" customWidth="1"/>
    <col min="9987" max="9987" width="49.5703125" style="61" customWidth="1"/>
    <col min="9988" max="9988" width="9.42578125" style="61" customWidth="1"/>
    <col min="9989" max="9989" width="11.5703125" style="61" bestFit="1" customWidth="1"/>
    <col min="9990" max="9990" width="15.5703125" style="61" customWidth="1"/>
    <col min="9991" max="9991" width="15.42578125" style="61" customWidth="1"/>
    <col min="9992" max="9992" width="16.42578125" style="61" bestFit="1" customWidth="1"/>
    <col min="9993" max="9993" width="23.42578125" style="61" customWidth="1"/>
    <col min="9994" max="9994" width="16.140625" style="61" bestFit="1" customWidth="1"/>
    <col min="9995" max="10001" width="0" style="61" hidden="1" customWidth="1"/>
    <col min="10002" max="10002" width="17.42578125" style="61" bestFit="1" customWidth="1"/>
    <col min="10003" max="10241" width="11.42578125" style="61"/>
    <col min="10242" max="10242" width="6" style="61" customWidth="1"/>
    <col min="10243" max="10243" width="49.5703125" style="61" customWidth="1"/>
    <col min="10244" max="10244" width="9.42578125" style="61" customWidth="1"/>
    <col min="10245" max="10245" width="11.5703125" style="61" bestFit="1" customWidth="1"/>
    <col min="10246" max="10246" width="15.5703125" style="61" customWidth="1"/>
    <col min="10247" max="10247" width="15.42578125" style="61" customWidth="1"/>
    <col min="10248" max="10248" width="16.42578125" style="61" bestFit="1" customWidth="1"/>
    <col min="10249" max="10249" width="23.42578125" style="61" customWidth="1"/>
    <col min="10250" max="10250" width="16.140625" style="61" bestFit="1" customWidth="1"/>
    <col min="10251" max="10257" width="0" style="61" hidden="1" customWidth="1"/>
    <col min="10258" max="10258" width="17.42578125" style="61" bestFit="1" customWidth="1"/>
    <col min="10259" max="10497" width="11.42578125" style="61"/>
    <col min="10498" max="10498" width="6" style="61" customWidth="1"/>
    <col min="10499" max="10499" width="49.5703125" style="61" customWidth="1"/>
    <col min="10500" max="10500" width="9.42578125" style="61" customWidth="1"/>
    <col min="10501" max="10501" width="11.5703125" style="61" bestFit="1" customWidth="1"/>
    <col min="10502" max="10502" width="15.5703125" style="61" customWidth="1"/>
    <col min="10503" max="10503" width="15.42578125" style="61" customWidth="1"/>
    <col min="10504" max="10504" width="16.42578125" style="61" bestFit="1" customWidth="1"/>
    <col min="10505" max="10505" width="23.42578125" style="61" customWidth="1"/>
    <col min="10506" max="10506" width="16.140625" style="61" bestFit="1" customWidth="1"/>
    <col min="10507" max="10513" width="0" style="61" hidden="1" customWidth="1"/>
    <col min="10514" max="10514" width="17.42578125" style="61" bestFit="1" customWidth="1"/>
    <col min="10515" max="10753" width="11.42578125" style="61"/>
    <col min="10754" max="10754" width="6" style="61" customWidth="1"/>
    <col min="10755" max="10755" width="49.5703125" style="61" customWidth="1"/>
    <col min="10756" max="10756" width="9.42578125" style="61" customWidth="1"/>
    <col min="10757" max="10757" width="11.5703125" style="61" bestFit="1" customWidth="1"/>
    <col min="10758" max="10758" width="15.5703125" style="61" customWidth="1"/>
    <col min="10759" max="10759" width="15.42578125" style="61" customWidth="1"/>
    <col min="10760" max="10760" width="16.42578125" style="61" bestFit="1" customWidth="1"/>
    <col min="10761" max="10761" width="23.42578125" style="61" customWidth="1"/>
    <col min="10762" max="10762" width="16.140625" style="61" bestFit="1" customWidth="1"/>
    <col min="10763" max="10769" width="0" style="61" hidden="1" customWidth="1"/>
    <col min="10770" max="10770" width="17.42578125" style="61" bestFit="1" customWidth="1"/>
    <col min="10771" max="11009" width="11.42578125" style="61"/>
    <col min="11010" max="11010" width="6" style="61" customWidth="1"/>
    <col min="11011" max="11011" width="49.5703125" style="61" customWidth="1"/>
    <col min="11012" max="11012" width="9.42578125" style="61" customWidth="1"/>
    <col min="11013" max="11013" width="11.5703125" style="61" bestFit="1" customWidth="1"/>
    <col min="11014" max="11014" width="15.5703125" style="61" customWidth="1"/>
    <col min="11015" max="11015" width="15.42578125" style="61" customWidth="1"/>
    <col min="11016" max="11016" width="16.42578125" style="61" bestFit="1" customWidth="1"/>
    <col min="11017" max="11017" width="23.42578125" style="61" customWidth="1"/>
    <col min="11018" max="11018" width="16.140625" style="61" bestFit="1" customWidth="1"/>
    <col min="11019" max="11025" width="0" style="61" hidden="1" customWidth="1"/>
    <col min="11026" max="11026" width="17.42578125" style="61" bestFit="1" customWidth="1"/>
    <col min="11027" max="11265" width="11.42578125" style="61"/>
    <col min="11266" max="11266" width="6" style="61" customWidth="1"/>
    <col min="11267" max="11267" width="49.5703125" style="61" customWidth="1"/>
    <col min="11268" max="11268" width="9.42578125" style="61" customWidth="1"/>
    <col min="11269" max="11269" width="11.5703125" style="61" bestFit="1" customWidth="1"/>
    <col min="11270" max="11270" width="15.5703125" style="61" customWidth="1"/>
    <col min="11271" max="11271" width="15.42578125" style="61" customWidth="1"/>
    <col min="11272" max="11272" width="16.42578125" style="61" bestFit="1" customWidth="1"/>
    <col min="11273" max="11273" width="23.42578125" style="61" customWidth="1"/>
    <col min="11274" max="11274" width="16.140625" style="61" bestFit="1" customWidth="1"/>
    <col min="11275" max="11281" width="0" style="61" hidden="1" customWidth="1"/>
    <col min="11282" max="11282" width="17.42578125" style="61" bestFit="1" customWidth="1"/>
    <col min="11283" max="11521" width="11.42578125" style="61"/>
    <col min="11522" max="11522" width="6" style="61" customWidth="1"/>
    <col min="11523" max="11523" width="49.5703125" style="61" customWidth="1"/>
    <col min="11524" max="11524" width="9.42578125" style="61" customWidth="1"/>
    <col min="11525" max="11525" width="11.5703125" style="61" bestFit="1" customWidth="1"/>
    <col min="11526" max="11526" width="15.5703125" style="61" customWidth="1"/>
    <col min="11527" max="11527" width="15.42578125" style="61" customWidth="1"/>
    <col min="11528" max="11528" width="16.42578125" style="61" bestFit="1" customWidth="1"/>
    <col min="11529" max="11529" width="23.42578125" style="61" customWidth="1"/>
    <col min="11530" max="11530" width="16.140625" style="61" bestFit="1" customWidth="1"/>
    <col min="11531" max="11537" width="0" style="61" hidden="1" customWidth="1"/>
    <col min="11538" max="11538" width="17.42578125" style="61" bestFit="1" customWidth="1"/>
    <col min="11539" max="11777" width="11.42578125" style="61"/>
    <col min="11778" max="11778" width="6" style="61" customWidth="1"/>
    <col min="11779" max="11779" width="49.5703125" style="61" customWidth="1"/>
    <col min="11780" max="11780" width="9.42578125" style="61" customWidth="1"/>
    <col min="11781" max="11781" width="11.5703125" style="61" bestFit="1" customWidth="1"/>
    <col min="11782" max="11782" width="15.5703125" style="61" customWidth="1"/>
    <col min="11783" max="11783" width="15.42578125" style="61" customWidth="1"/>
    <col min="11784" max="11784" width="16.42578125" style="61" bestFit="1" customWidth="1"/>
    <col min="11785" max="11785" width="23.42578125" style="61" customWidth="1"/>
    <col min="11786" max="11786" width="16.140625" style="61" bestFit="1" customWidth="1"/>
    <col min="11787" max="11793" width="0" style="61" hidden="1" customWidth="1"/>
    <col min="11794" max="11794" width="17.42578125" style="61" bestFit="1" customWidth="1"/>
    <col min="11795" max="12033" width="11.42578125" style="61"/>
    <col min="12034" max="12034" width="6" style="61" customWidth="1"/>
    <col min="12035" max="12035" width="49.5703125" style="61" customWidth="1"/>
    <col min="12036" max="12036" width="9.42578125" style="61" customWidth="1"/>
    <col min="12037" max="12037" width="11.5703125" style="61" bestFit="1" customWidth="1"/>
    <col min="12038" max="12038" width="15.5703125" style="61" customWidth="1"/>
    <col min="12039" max="12039" width="15.42578125" style="61" customWidth="1"/>
    <col min="12040" max="12040" width="16.42578125" style="61" bestFit="1" customWidth="1"/>
    <col min="12041" max="12041" width="23.42578125" style="61" customWidth="1"/>
    <col min="12042" max="12042" width="16.140625" style="61" bestFit="1" customWidth="1"/>
    <col min="12043" max="12049" width="0" style="61" hidden="1" customWidth="1"/>
    <col min="12050" max="12050" width="17.42578125" style="61" bestFit="1" customWidth="1"/>
    <col min="12051" max="12289" width="11.42578125" style="61"/>
    <col min="12290" max="12290" width="6" style="61" customWidth="1"/>
    <col min="12291" max="12291" width="49.5703125" style="61" customWidth="1"/>
    <col min="12292" max="12292" width="9.42578125" style="61" customWidth="1"/>
    <col min="12293" max="12293" width="11.5703125" style="61" bestFit="1" customWidth="1"/>
    <col min="12294" max="12294" width="15.5703125" style="61" customWidth="1"/>
    <col min="12295" max="12295" width="15.42578125" style="61" customWidth="1"/>
    <col min="12296" max="12296" width="16.42578125" style="61" bestFit="1" customWidth="1"/>
    <col min="12297" max="12297" width="23.42578125" style="61" customWidth="1"/>
    <col min="12298" max="12298" width="16.140625" style="61" bestFit="1" customWidth="1"/>
    <col min="12299" max="12305" width="0" style="61" hidden="1" customWidth="1"/>
    <col min="12306" max="12306" width="17.42578125" style="61" bestFit="1" customWidth="1"/>
    <col min="12307" max="12545" width="11.42578125" style="61"/>
    <col min="12546" max="12546" width="6" style="61" customWidth="1"/>
    <col min="12547" max="12547" width="49.5703125" style="61" customWidth="1"/>
    <col min="12548" max="12548" width="9.42578125" style="61" customWidth="1"/>
    <col min="12549" max="12549" width="11.5703125" style="61" bestFit="1" customWidth="1"/>
    <col min="12550" max="12550" width="15.5703125" style="61" customWidth="1"/>
    <col min="12551" max="12551" width="15.42578125" style="61" customWidth="1"/>
    <col min="12552" max="12552" width="16.42578125" style="61" bestFit="1" customWidth="1"/>
    <col min="12553" max="12553" width="23.42578125" style="61" customWidth="1"/>
    <col min="12554" max="12554" width="16.140625" style="61" bestFit="1" customWidth="1"/>
    <col min="12555" max="12561" width="0" style="61" hidden="1" customWidth="1"/>
    <col min="12562" max="12562" width="17.42578125" style="61" bestFit="1" customWidth="1"/>
    <col min="12563" max="12801" width="11.42578125" style="61"/>
    <col min="12802" max="12802" width="6" style="61" customWidth="1"/>
    <col min="12803" max="12803" width="49.5703125" style="61" customWidth="1"/>
    <col min="12804" max="12804" width="9.42578125" style="61" customWidth="1"/>
    <col min="12805" max="12805" width="11.5703125" style="61" bestFit="1" customWidth="1"/>
    <col min="12806" max="12806" width="15.5703125" style="61" customWidth="1"/>
    <col min="12807" max="12807" width="15.42578125" style="61" customWidth="1"/>
    <col min="12808" max="12808" width="16.42578125" style="61" bestFit="1" customWidth="1"/>
    <col min="12809" max="12809" width="23.42578125" style="61" customWidth="1"/>
    <col min="12810" max="12810" width="16.140625" style="61" bestFit="1" customWidth="1"/>
    <col min="12811" max="12817" width="0" style="61" hidden="1" customWidth="1"/>
    <col min="12818" max="12818" width="17.42578125" style="61" bestFit="1" customWidth="1"/>
    <col min="12819" max="13057" width="11.42578125" style="61"/>
    <col min="13058" max="13058" width="6" style="61" customWidth="1"/>
    <col min="13059" max="13059" width="49.5703125" style="61" customWidth="1"/>
    <col min="13060" max="13060" width="9.42578125" style="61" customWidth="1"/>
    <col min="13061" max="13061" width="11.5703125" style="61" bestFit="1" customWidth="1"/>
    <col min="13062" max="13062" width="15.5703125" style="61" customWidth="1"/>
    <col min="13063" max="13063" width="15.42578125" style="61" customWidth="1"/>
    <col min="13064" max="13064" width="16.42578125" style="61" bestFit="1" customWidth="1"/>
    <col min="13065" max="13065" width="23.42578125" style="61" customWidth="1"/>
    <col min="13066" max="13066" width="16.140625" style="61" bestFit="1" customWidth="1"/>
    <col min="13067" max="13073" width="0" style="61" hidden="1" customWidth="1"/>
    <col min="13074" max="13074" width="17.42578125" style="61" bestFit="1" customWidth="1"/>
    <col min="13075" max="13313" width="11.42578125" style="61"/>
    <col min="13314" max="13314" width="6" style="61" customWidth="1"/>
    <col min="13315" max="13315" width="49.5703125" style="61" customWidth="1"/>
    <col min="13316" max="13316" width="9.42578125" style="61" customWidth="1"/>
    <col min="13317" max="13317" width="11.5703125" style="61" bestFit="1" customWidth="1"/>
    <col min="13318" max="13318" width="15.5703125" style="61" customWidth="1"/>
    <col min="13319" max="13319" width="15.42578125" style="61" customWidth="1"/>
    <col min="13320" max="13320" width="16.42578125" style="61" bestFit="1" customWidth="1"/>
    <col min="13321" max="13321" width="23.42578125" style="61" customWidth="1"/>
    <col min="13322" max="13322" width="16.140625" style="61" bestFit="1" customWidth="1"/>
    <col min="13323" max="13329" width="0" style="61" hidden="1" customWidth="1"/>
    <col min="13330" max="13330" width="17.42578125" style="61" bestFit="1" customWidth="1"/>
    <col min="13331" max="13569" width="11.42578125" style="61"/>
    <col min="13570" max="13570" width="6" style="61" customWidth="1"/>
    <col min="13571" max="13571" width="49.5703125" style="61" customWidth="1"/>
    <col min="13572" max="13572" width="9.42578125" style="61" customWidth="1"/>
    <col min="13573" max="13573" width="11.5703125" style="61" bestFit="1" customWidth="1"/>
    <col min="13574" max="13574" width="15.5703125" style="61" customWidth="1"/>
    <col min="13575" max="13575" width="15.42578125" style="61" customWidth="1"/>
    <col min="13576" max="13576" width="16.42578125" style="61" bestFit="1" customWidth="1"/>
    <col min="13577" max="13577" width="23.42578125" style="61" customWidth="1"/>
    <col min="13578" max="13578" width="16.140625" style="61" bestFit="1" customWidth="1"/>
    <col min="13579" max="13585" width="0" style="61" hidden="1" customWidth="1"/>
    <col min="13586" max="13586" width="17.42578125" style="61" bestFit="1" customWidth="1"/>
    <col min="13587" max="13825" width="11.42578125" style="61"/>
    <col min="13826" max="13826" width="6" style="61" customWidth="1"/>
    <col min="13827" max="13827" width="49.5703125" style="61" customWidth="1"/>
    <col min="13828" max="13828" width="9.42578125" style="61" customWidth="1"/>
    <col min="13829" max="13829" width="11.5703125" style="61" bestFit="1" customWidth="1"/>
    <col min="13830" max="13830" width="15.5703125" style="61" customWidth="1"/>
    <col min="13831" max="13831" width="15.42578125" style="61" customWidth="1"/>
    <col min="13832" max="13832" width="16.42578125" style="61" bestFit="1" customWidth="1"/>
    <col min="13833" max="13833" width="23.42578125" style="61" customWidth="1"/>
    <col min="13834" max="13834" width="16.140625" style="61" bestFit="1" customWidth="1"/>
    <col min="13835" max="13841" width="0" style="61" hidden="1" customWidth="1"/>
    <col min="13842" max="13842" width="17.42578125" style="61" bestFit="1" customWidth="1"/>
    <col min="13843" max="14081" width="11.42578125" style="61"/>
    <col min="14082" max="14082" width="6" style="61" customWidth="1"/>
    <col min="14083" max="14083" width="49.5703125" style="61" customWidth="1"/>
    <col min="14084" max="14084" width="9.42578125" style="61" customWidth="1"/>
    <col min="14085" max="14085" width="11.5703125" style="61" bestFit="1" customWidth="1"/>
    <col min="14086" max="14086" width="15.5703125" style="61" customWidth="1"/>
    <col min="14087" max="14087" width="15.42578125" style="61" customWidth="1"/>
    <col min="14088" max="14088" width="16.42578125" style="61" bestFit="1" customWidth="1"/>
    <col min="14089" max="14089" width="23.42578125" style="61" customWidth="1"/>
    <col min="14090" max="14090" width="16.140625" style="61" bestFit="1" customWidth="1"/>
    <col min="14091" max="14097" width="0" style="61" hidden="1" customWidth="1"/>
    <col min="14098" max="14098" width="17.42578125" style="61" bestFit="1" customWidth="1"/>
    <col min="14099" max="14337" width="11.42578125" style="61"/>
    <col min="14338" max="14338" width="6" style="61" customWidth="1"/>
    <col min="14339" max="14339" width="49.5703125" style="61" customWidth="1"/>
    <col min="14340" max="14340" width="9.42578125" style="61" customWidth="1"/>
    <col min="14341" max="14341" width="11.5703125" style="61" bestFit="1" customWidth="1"/>
    <col min="14342" max="14342" width="15.5703125" style="61" customWidth="1"/>
    <col min="14343" max="14343" width="15.42578125" style="61" customWidth="1"/>
    <col min="14344" max="14344" width="16.42578125" style="61" bestFit="1" customWidth="1"/>
    <col min="14345" max="14345" width="23.42578125" style="61" customWidth="1"/>
    <col min="14346" max="14346" width="16.140625" style="61" bestFit="1" customWidth="1"/>
    <col min="14347" max="14353" width="0" style="61" hidden="1" customWidth="1"/>
    <col min="14354" max="14354" width="17.42578125" style="61" bestFit="1" customWidth="1"/>
    <col min="14355" max="14593" width="11.42578125" style="61"/>
    <col min="14594" max="14594" width="6" style="61" customWidth="1"/>
    <col min="14595" max="14595" width="49.5703125" style="61" customWidth="1"/>
    <col min="14596" max="14596" width="9.42578125" style="61" customWidth="1"/>
    <col min="14597" max="14597" width="11.5703125" style="61" bestFit="1" customWidth="1"/>
    <col min="14598" max="14598" width="15.5703125" style="61" customWidth="1"/>
    <col min="14599" max="14599" width="15.42578125" style="61" customWidth="1"/>
    <col min="14600" max="14600" width="16.42578125" style="61" bestFit="1" customWidth="1"/>
    <col min="14601" max="14601" width="23.42578125" style="61" customWidth="1"/>
    <col min="14602" max="14602" width="16.140625" style="61" bestFit="1" customWidth="1"/>
    <col min="14603" max="14609" width="0" style="61" hidden="1" customWidth="1"/>
    <col min="14610" max="14610" width="17.42578125" style="61" bestFit="1" customWidth="1"/>
    <col min="14611" max="14849" width="11.42578125" style="61"/>
    <col min="14850" max="14850" width="6" style="61" customWidth="1"/>
    <col min="14851" max="14851" width="49.5703125" style="61" customWidth="1"/>
    <col min="14852" max="14852" width="9.42578125" style="61" customWidth="1"/>
    <col min="14853" max="14853" width="11.5703125" style="61" bestFit="1" customWidth="1"/>
    <col min="14854" max="14854" width="15.5703125" style="61" customWidth="1"/>
    <col min="14855" max="14855" width="15.42578125" style="61" customWidth="1"/>
    <col min="14856" max="14856" width="16.42578125" style="61" bestFit="1" customWidth="1"/>
    <col min="14857" max="14857" width="23.42578125" style="61" customWidth="1"/>
    <col min="14858" max="14858" width="16.140625" style="61" bestFit="1" customWidth="1"/>
    <col min="14859" max="14865" width="0" style="61" hidden="1" customWidth="1"/>
    <col min="14866" max="14866" width="17.42578125" style="61" bestFit="1" customWidth="1"/>
    <col min="14867" max="15105" width="11.42578125" style="61"/>
    <col min="15106" max="15106" width="6" style="61" customWidth="1"/>
    <col min="15107" max="15107" width="49.5703125" style="61" customWidth="1"/>
    <col min="15108" max="15108" width="9.42578125" style="61" customWidth="1"/>
    <col min="15109" max="15109" width="11.5703125" style="61" bestFit="1" customWidth="1"/>
    <col min="15110" max="15110" width="15.5703125" style="61" customWidth="1"/>
    <col min="15111" max="15111" width="15.42578125" style="61" customWidth="1"/>
    <col min="15112" max="15112" width="16.42578125" style="61" bestFit="1" customWidth="1"/>
    <col min="15113" max="15113" width="23.42578125" style="61" customWidth="1"/>
    <col min="15114" max="15114" width="16.140625" style="61" bestFit="1" customWidth="1"/>
    <col min="15115" max="15121" width="0" style="61" hidden="1" customWidth="1"/>
    <col min="15122" max="15122" width="17.42578125" style="61" bestFit="1" customWidth="1"/>
    <col min="15123" max="15361" width="11.42578125" style="61"/>
    <col min="15362" max="15362" width="6" style="61" customWidth="1"/>
    <col min="15363" max="15363" width="49.5703125" style="61" customWidth="1"/>
    <col min="15364" max="15364" width="9.42578125" style="61" customWidth="1"/>
    <col min="15365" max="15365" width="11.5703125" style="61" bestFit="1" customWidth="1"/>
    <col min="15366" max="15366" width="15.5703125" style="61" customWidth="1"/>
    <col min="15367" max="15367" width="15.42578125" style="61" customWidth="1"/>
    <col min="15368" max="15368" width="16.42578125" style="61" bestFit="1" customWidth="1"/>
    <col min="15369" max="15369" width="23.42578125" style="61" customWidth="1"/>
    <col min="15370" max="15370" width="16.140625" style="61" bestFit="1" customWidth="1"/>
    <col min="15371" max="15377" width="0" style="61" hidden="1" customWidth="1"/>
    <col min="15378" max="15378" width="17.42578125" style="61" bestFit="1" customWidth="1"/>
    <col min="15379" max="15617" width="11.42578125" style="61"/>
    <col min="15618" max="15618" width="6" style="61" customWidth="1"/>
    <col min="15619" max="15619" width="49.5703125" style="61" customWidth="1"/>
    <col min="15620" max="15620" width="9.42578125" style="61" customWidth="1"/>
    <col min="15621" max="15621" width="11.5703125" style="61" bestFit="1" customWidth="1"/>
    <col min="15622" max="15622" width="15.5703125" style="61" customWidth="1"/>
    <col min="15623" max="15623" width="15.42578125" style="61" customWidth="1"/>
    <col min="15624" max="15624" width="16.42578125" style="61" bestFit="1" customWidth="1"/>
    <col min="15625" max="15625" width="23.42578125" style="61" customWidth="1"/>
    <col min="15626" max="15626" width="16.140625" style="61" bestFit="1" customWidth="1"/>
    <col min="15627" max="15633" width="0" style="61" hidden="1" customWidth="1"/>
    <col min="15634" max="15634" width="17.42578125" style="61" bestFit="1" customWidth="1"/>
    <col min="15635" max="15873" width="11.42578125" style="61"/>
    <col min="15874" max="15874" width="6" style="61" customWidth="1"/>
    <col min="15875" max="15875" width="49.5703125" style="61" customWidth="1"/>
    <col min="15876" max="15876" width="9.42578125" style="61" customWidth="1"/>
    <col min="15877" max="15877" width="11.5703125" style="61" bestFit="1" customWidth="1"/>
    <col min="15878" max="15878" width="15.5703125" style="61" customWidth="1"/>
    <col min="15879" max="15879" width="15.42578125" style="61" customWidth="1"/>
    <col min="15880" max="15880" width="16.42578125" style="61" bestFit="1" customWidth="1"/>
    <col min="15881" max="15881" width="23.42578125" style="61" customWidth="1"/>
    <col min="15882" max="15882" width="16.140625" style="61" bestFit="1" customWidth="1"/>
    <col min="15883" max="15889" width="0" style="61" hidden="1" customWidth="1"/>
    <col min="15890" max="15890" width="17.42578125" style="61" bestFit="1" customWidth="1"/>
    <col min="15891" max="16129" width="11.42578125" style="61"/>
    <col min="16130" max="16130" width="6" style="61" customWidth="1"/>
    <col min="16131" max="16131" width="49.5703125" style="61" customWidth="1"/>
    <col min="16132" max="16132" width="9.42578125" style="61" customWidth="1"/>
    <col min="16133" max="16133" width="11.5703125" style="61" bestFit="1" customWidth="1"/>
    <col min="16134" max="16134" width="15.5703125" style="61" customWidth="1"/>
    <col min="16135" max="16135" width="15.42578125" style="61" customWidth="1"/>
    <col min="16136" max="16136" width="16.42578125" style="61" bestFit="1" customWidth="1"/>
    <col min="16137" max="16137" width="23.42578125" style="61" customWidth="1"/>
    <col min="16138" max="16138" width="16.140625" style="61" bestFit="1" customWidth="1"/>
    <col min="16139" max="16145" width="0" style="61" hidden="1" customWidth="1"/>
    <col min="16146" max="16146" width="17.42578125" style="61" bestFit="1" customWidth="1"/>
    <col min="16147" max="16384" width="11.42578125" style="61"/>
  </cols>
  <sheetData>
    <row r="2" spans="1:18" ht="63" customHeight="1" x14ac:dyDescent="0.2">
      <c r="B2" s="379" t="s">
        <v>131</v>
      </c>
      <c r="C2" s="379"/>
      <c r="D2" s="380"/>
      <c r="E2" s="380"/>
      <c r="F2" s="380"/>
      <c r="G2" s="380"/>
      <c r="H2" s="380"/>
      <c r="I2" s="380"/>
      <c r="L2" s="106"/>
    </row>
    <row r="3" spans="1:18" ht="22.5" customHeight="1" x14ac:dyDescent="0.2">
      <c r="B3" s="380" t="s">
        <v>105</v>
      </c>
      <c r="C3" s="380"/>
      <c r="D3" s="380"/>
      <c r="E3" s="380"/>
      <c r="F3" s="380"/>
      <c r="G3" s="380"/>
      <c r="H3" s="380"/>
      <c r="I3" s="380"/>
      <c r="L3" s="106"/>
    </row>
    <row r="4" spans="1:18" ht="31.5" customHeight="1" x14ac:dyDescent="0.2">
      <c r="A4" s="141"/>
      <c r="B4" s="403" t="s">
        <v>118</v>
      </c>
      <c r="C4" s="403"/>
      <c r="D4" s="403"/>
      <c r="E4" s="403"/>
      <c r="F4" s="403"/>
      <c r="G4" s="403"/>
      <c r="H4" s="403"/>
      <c r="I4" s="403"/>
      <c r="L4" s="106"/>
    </row>
    <row r="5" spans="1:18" ht="21.75" customHeight="1" x14ac:dyDescent="0.25">
      <c r="A5" s="141"/>
      <c r="B5" s="382" t="s">
        <v>82</v>
      </c>
      <c r="C5" s="382"/>
      <c r="D5" s="382"/>
      <c r="E5" s="382"/>
      <c r="F5" s="382"/>
      <c r="G5" s="382"/>
      <c r="H5" s="382"/>
      <c r="I5" s="382"/>
      <c r="K5" s="65"/>
      <c r="L5" s="119"/>
      <c r="R5" s="63"/>
    </row>
    <row r="6" spans="1:18" ht="18" customHeight="1" x14ac:dyDescent="0.25">
      <c r="A6" s="141"/>
      <c r="B6" s="383" t="s">
        <v>41</v>
      </c>
      <c r="C6" s="384" t="s">
        <v>91</v>
      </c>
      <c r="D6" s="384"/>
      <c r="E6" s="384"/>
      <c r="F6" s="384"/>
      <c r="G6" s="385">
        <v>6</v>
      </c>
      <c r="H6" s="385"/>
      <c r="I6" s="3"/>
      <c r="J6" s="120"/>
      <c r="K6" s="65"/>
      <c r="L6" s="119"/>
      <c r="R6" s="63"/>
    </row>
    <row r="7" spans="1:18" ht="18" customHeight="1" x14ac:dyDescent="0.25">
      <c r="A7" s="141"/>
      <c r="B7" s="383"/>
      <c r="C7" s="384" t="s">
        <v>42</v>
      </c>
      <c r="D7" s="384"/>
      <c r="E7" s="384"/>
      <c r="F7" s="384"/>
      <c r="G7" s="386">
        <f>+F11</f>
        <v>1578999180</v>
      </c>
      <c r="H7" s="386"/>
      <c r="I7" s="3"/>
      <c r="J7" s="120"/>
      <c r="K7" s="65"/>
      <c r="L7" s="119"/>
      <c r="R7" s="63"/>
    </row>
    <row r="8" spans="1:18" ht="18" customHeight="1" x14ac:dyDescent="0.25">
      <c r="A8" s="141"/>
      <c r="B8" s="383"/>
      <c r="C8" s="384" t="s">
        <v>103</v>
      </c>
      <c r="D8" s="384"/>
      <c r="E8" s="384"/>
      <c r="F8" s="384"/>
      <c r="G8" s="386">
        <f>+G7/G6</f>
        <v>263166530</v>
      </c>
      <c r="H8" s="386"/>
      <c r="I8" s="3"/>
      <c r="J8" s="121"/>
      <c r="K8" s="65"/>
      <c r="L8" s="119"/>
      <c r="R8" s="63"/>
    </row>
    <row r="9" spans="1:18" ht="13.5" customHeight="1" x14ac:dyDescent="0.25">
      <c r="A9" s="141"/>
      <c r="B9" s="141"/>
      <c r="C9" s="384" t="s">
        <v>114</v>
      </c>
      <c r="D9" s="384"/>
      <c r="E9" s="384"/>
      <c r="F9" s="384"/>
      <c r="G9" s="386">
        <f>+ROUND(G7*0.2,0)</f>
        <v>315799836</v>
      </c>
      <c r="H9" s="386"/>
      <c r="I9" s="141"/>
      <c r="K9" s="65"/>
      <c r="L9" s="119"/>
      <c r="R9" s="63"/>
    </row>
    <row r="10" spans="1:18" ht="23.25" customHeight="1" x14ac:dyDescent="0.25">
      <c r="A10" s="141"/>
      <c r="B10" s="22"/>
      <c r="C10" s="22"/>
      <c r="D10" s="389" t="s">
        <v>58</v>
      </c>
      <c r="E10" s="389"/>
      <c r="F10" s="136">
        <f>+G6</f>
        <v>6</v>
      </c>
      <c r="G10" s="390"/>
      <c r="H10" s="391"/>
      <c r="J10" s="114"/>
      <c r="K10" s="65"/>
      <c r="L10" s="119"/>
      <c r="R10" s="63"/>
    </row>
    <row r="11" spans="1:18" ht="15" customHeight="1" x14ac:dyDescent="0.25">
      <c r="B11" s="1"/>
      <c r="C11" s="1"/>
      <c r="D11" s="392" t="s">
        <v>119</v>
      </c>
      <c r="E11" s="392"/>
      <c r="F11" s="137">
        <f>+F12+F17</f>
        <v>1578999180</v>
      </c>
      <c r="G11" s="393"/>
      <c r="H11" s="394"/>
      <c r="K11" s="65"/>
      <c r="L11" s="119"/>
      <c r="R11" s="63"/>
    </row>
    <row r="12" spans="1:18" ht="15" customHeight="1" x14ac:dyDescent="0.25">
      <c r="B12" s="23"/>
      <c r="C12" s="23"/>
      <c r="D12" s="392" t="s">
        <v>120</v>
      </c>
      <c r="E12" s="392"/>
      <c r="F12" s="138">
        <v>1144700000</v>
      </c>
      <c r="G12" s="393"/>
      <c r="H12" s="394"/>
      <c r="J12" s="73"/>
      <c r="K12" s="122"/>
      <c r="L12" s="123"/>
      <c r="R12" s="63"/>
    </row>
    <row r="13" spans="1:18" ht="15" customHeight="1" x14ac:dyDescent="0.25">
      <c r="B13" s="23"/>
      <c r="C13" s="23"/>
      <c r="D13" s="387" t="s">
        <v>121</v>
      </c>
      <c r="E13" s="388"/>
      <c r="F13" s="42" t="e">
        <f>+F97</f>
        <v>#REF!</v>
      </c>
      <c r="G13" s="142"/>
      <c r="H13" s="60"/>
      <c r="J13" s="73"/>
      <c r="K13" s="122"/>
      <c r="L13" s="123"/>
      <c r="R13" s="63"/>
    </row>
    <row r="14" spans="1:18" ht="15" customHeight="1" x14ac:dyDescent="0.25">
      <c r="B14" s="23"/>
      <c r="C14" s="23"/>
      <c r="D14" s="387" t="s">
        <v>122</v>
      </c>
      <c r="E14" s="388"/>
      <c r="F14" s="42">
        <f>+F99</f>
        <v>0.01</v>
      </c>
      <c r="G14" s="142"/>
      <c r="H14" s="60"/>
      <c r="J14" s="73"/>
      <c r="K14" s="122"/>
      <c r="L14" s="123"/>
      <c r="R14" s="63"/>
    </row>
    <row r="15" spans="1:18" ht="15" customHeight="1" x14ac:dyDescent="0.25">
      <c r="B15" s="23"/>
      <c r="C15" s="23"/>
      <c r="D15" s="387" t="s">
        <v>123</v>
      </c>
      <c r="E15" s="388"/>
      <c r="F15" s="42">
        <f>+F101</f>
        <v>0.05</v>
      </c>
      <c r="G15" s="142"/>
      <c r="H15" s="60"/>
      <c r="J15" s="73"/>
      <c r="K15" s="122"/>
      <c r="L15" s="123"/>
      <c r="R15" s="63"/>
    </row>
    <row r="16" spans="1:18" ht="15" customHeight="1" x14ac:dyDescent="0.25">
      <c r="B16" s="23"/>
      <c r="C16" s="23"/>
      <c r="D16" s="387" t="s">
        <v>124</v>
      </c>
      <c r="E16" s="388"/>
      <c r="F16" s="139" t="e">
        <f>SUM(F13:F15)</f>
        <v>#REF!</v>
      </c>
      <c r="G16" s="142"/>
      <c r="H16" s="60"/>
      <c r="J16" s="73"/>
      <c r="K16" s="122"/>
      <c r="L16" s="123"/>
      <c r="R16" s="63"/>
    </row>
    <row r="17" spans="1:25" ht="15" customHeight="1" x14ac:dyDescent="0.25">
      <c r="D17" s="392" t="s">
        <v>57</v>
      </c>
      <c r="E17" s="392"/>
      <c r="F17" s="93">
        <v>434299180</v>
      </c>
      <c r="G17" s="399"/>
      <c r="H17" s="394"/>
      <c r="K17" s="124"/>
      <c r="L17" s="125"/>
      <c r="M17" s="126"/>
      <c r="N17" s="92"/>
      <c r="R17" s="63"/>
    </row>
    <row r="18" spans="1:25" ht="15" customHeight="1" x14ac:dyDescent="0.25">
      <c r="I18" s="24"/>
      <c r="J18" s="65"/>
      <c r="K18" s="124"/>
      <c r="L18" s="127"/>
      <c r="R18" s="63"/>
    </row>
    <row r="19" spans="1:25" s="27" customFormat="1" ht="23.25" thickBot="1" x14ac:dyDescent="0.3">
      <c r="A19" s="26"/>
      <c r="B19" s="57" t="s">
        <v>0</v>
      </c>
      <c r="C19" s="57" t="s">
        <v>1</v>
      </c>
      <c r="D19" s="57" t="s">
        <v>2</v>
      </c>
      <c r="E19" s="58" t="s">
        <v>65</v>
      </c>
      <c r="F19" s="58" t="s">
        <v>64</v>
      </c>
      <c r="G19" s="111" t="s">
        <v>110</v>
      </c>
      <c r="H19" s="111" t="s">
        <v>108</v>
      </c>
      <c r="I19" s="116" t="s">
        <v>3</v>
      </c>
      <c r="K19" s="128"/>
      <c r="L19" s="129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31" customFormat="1" ht="12" thickBot="1" x14ac:dyDescent="0.3">
      <c r="A20" s="59"/>
      <c r="B20" s="29"/>
      <c r="C20" s="29"/>
      <c r="D20" s="29"/>
      <c r="E20" s="30"/>
      <c r="F20" s="30"/>
      <c r="G20" s="400" t="s">
        <v>109</v>
      </c>
      <c r="H20" s="401"/>
      <c r="I20" s="101"/>
      <c r="K20" s="130"/>
      <c r="L20" s="107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 x14ac:dyDescent="0.25">
      <c r="A21" s="33">
        <v>1</v>
      </c>
      <c r="B21" s="160" t="s">
        <v>127</v>
      </c>
      <c r="C21" s="84"/>
      <c r="D21" s="84"/>
      <c r="E21" s="38"/>
      <c r="F21" s="38"/>
      <c r="G21" s="112"/>
      <c r="H21" s="113">
        <v>1.02</v>
      </c>
      <c r="I21" s="117"/>
      <c r="K21" s="65"/>
      <c r="R21" s="63"/>
    </row>
    <row r="22" spans="1:25" ht="15" customHeight="1" x14ac:dyDescent="0.25">
      <c r="A22" s="67" t="s">
        <v>69</v>
      </c>
      <c r="B22" s="147" t="s">
        <v>84</v>
      </c>
      <c r="C22" s="85">
        <v>1</v>
      </c>
      <c r="D22" s="115">
        <v>0.5</v>
      </c>
      <c r="E22" s="6" t="e">
        <f>VLOOKUP($A22,#REF!,3,FALSE)</f>
        <v>#REF!</v>
      </c>
      <c r="F22" s="94">
        <v>1.3</v>
      </c>
      <c r="G22" s="95">
        <v>4</v>
      </c>
      <c r="H22" s="95">
        <v>2</v>
      </c>
      <c r="I22" s="118" t="e">
        <f>ROUND((C22*D22*E22*F22*G22)+(C22*D22*E22*F22*H22*$H$21),0)</f>
        <v>#REF!</v>
      </c>
      <c r="K22" s="131"/>
      <c r="R22" s="63"/>
    </row>
    <row r="23" spans="1:25" ht="15" customHeight="1" x14ac:dyDescent="0.25">
      <c r="A23" s="67" t="s">
        <v>70</v>
      </c>
      <c r="B23" s="147" t="s">
        <v>85</v>
      </c>
      <c r="C23" s="85">
        <v>1</v>
      </c>
      <c r="D23" s="115">
        <v>1</v>
      </c>
      <c r="E23" s="6" t="e">
        <f>VLOOKUP($A23,#REF!,3,FALSE)</f>
        <v>#REF!</v>
      </c>
      <c r="F23" s="96">
        <f>+$F$22</f>
        <v>1.3</v>
      </c>
      <c r="G23" s="95">
        <v>4</v>
      </c>
      <c r="H23" s="95">
        <v>2</v>
      </c>
      <c r="I23" s="118" t="e">
        <f t="shared" ref="I23:I34" si="0">ROUND((C23*D23*E23*F23*G23)+(C23*D23*E23*F23*H23*$H$21),0)</f>
        <v>#REF!</v>
      </c>
      <c r="K23" s="132"/>
      <c r="M23" s="133"/>
      <c r="R23" s="63"/>
    </row>
    <row r="24" spans="1:25" ht="15" customHeight="1" x14ac:dyDescent="0.25">
      <c r="A24" s="67" t="s">
        <v>70</v>
      </c>
      <c r="B24" s="147" t="s">
        <v>88</v>
      </c>
      <c r="C24" s="85">
        <v>1</v>
      </c>
      <c r="D24" s="115">
        <v>0.25</v>
      </c>
      <c r="E24" s="6" t="e">
        <f>VLOOKUP($A24,#REF!,3,FALSE)</f>
        <v>#REF!</v>
      </c>
      <c r="F24" s="96">
        <f t="shared" ref="F24:F34" si="1">+$F$22</f>
        <v>1.3</v>
      </c>
      <c r="G24" s="95">
        <v>4</v>
      </c>
      <c r="H24" s="95">
        <v>2</v>
      </c>
      <c r="I24" s="118" t="e">
        <f t="shared" si="0"/>
        <v>#REF!</v>
      </c>
      <c r="K24" s="132"/>
      <c r="M24" s="133"/>
      <c r="N24" s="133"/>
      <c r="R24" s="63"/>
    </row>
    <row r="25" spans="1:25" ht="15" customHeight="1" x14ac:dyDescent="0.25">
      <c r="A25" s="67" t="s">
        <v>70</v>
      </c>
      <c r="B25" s="147" t="s">
        <v>86</v>
      </c>
      <c r="C25" s="85">
        <v>1</v>
      </c>
      <c r="D25" s="115">
        <v>0.25</v>
      </c>
      <c r="E25" s="6" t="e">
        <f>VLOOKUP($A25,#REF!,3,FALSE)</f>
        <v>#REF!</v>
      </c>
      <c r="F25" s="96">
        <f t="shared" si="1"/>
        <v>1.3</v>
      </c>
      <c r="G25" s="95">
        <v>4</v>
      </c>
      <c r="H25" s="95">
        <v>2</v>
      </c>
      <c r="I25" s="118" t="e">
        <f t="shared" si="0"/>
        <v>#REF!</v>
      </c>
      <c r="K25" s="61"/>
      <c r="L25" s="132"/>
      <c r="M25" s="134"/>
      <c r="R25" s="63"/>
    </row>
    <row r="26" spans="1:25" ht="15" customHeight="1" x14ac:dyDescent="0.25">
      <c r="A26" s="67" t="s">
        <v>70</v>
      </c>
      <c r="B26" s="147" t="s">
        <v>93</v>
      </c>
      <c r="C26" s="85">
        <v>1</v>
      </c>
      <c r="D26" s="115">
        <v>1</v>
      </c>
      <c r="E26" s="6" t="e">
        <f>VLOOKUP($A26,#REF!,3,FALSE)</f>
        <v>#REF!</v>
      </c>
      <c r="F26" s="96">
        <f t="shared" si="1"/>
        <v>1.3</v>
      </c>
      <c r="G26" s="95">
        <v>4</v>
      </c>
      <c r="H26" s="95">
        <v>2</v>
      </c>
      <c r="I26" s="118" t="e">
        <f t="shared" si="0"/>
        <v>#REF!</v>
      </c>
      <c r="K26" s="135"/>
      <c r="R26" s="63"/>
    </row>
    <row r="27" spans="1:25" ht="15" customHeight="1" x14ac:dyDescent="0.25">
      <c r="A27" s="67" t="s">
        <v>70</v>
      </c>
      <c r="B27" s="147" t="s">
        <v>125</v>
      </c>
      <c r="C27" s="85">
        <v>1</v>
      </c>
      <c r="D27" s="115">
        <v>0.15</v>
      </c>
      <c r="E27" s="6" t="e">
        <f>VLOOKUP($A27,#REF!,3,FALSE)</f>
        <v>#REF!</v>
      </c>
      <c r="F27" s="96">
        <f t="shared" si="1"/>
        <v>1.3</v>
      </c>
      <c r="G27" s="95">
        <v>4</v>
      </c>
      <c r="H27" s="95">
        <v>2</v>
      </c>
      <c r="I27" s="118" t="e">
        <f t="shared" si="0"/>
        <v>#REF!</v>
      </c>
      <c r="K27" s="135"/>
      <c r="R27" s="63"/>
    </row>
    <row r="28" spans="1:25" ht="15" customHeight="1" x14ac:dyDescent="0.25">
      <c r="A28" s="67" t="s">
        <v>71</v>
      </c>
      <c r="B28" s="147" t="s">
        <v>115</v>
      </c>
      <c r="C28" s="86">
        <v>1</v>
      </c>
      <c r="D28" s="115">
        <v>0.1</v>
      </c>
      <c r="E28" s="6" t="e">
        <f>VLOOKUP($A28,#REF!,3,FALSE)</f>
        <v>#REF!</v>
      </c>
      <c r="F28" s="96">
        <f t="shared" si="1"/>
        <v>1.3</v>
      </c>
      <c r="G28" s="95">
        <v>4</v>
      </c>
      <c r="H28" s="95">
        <v>2</v>
      </c>
      <c r="I28" s="118" t="e">
        <f t="shared" si="0"/>
        <v>#REF!</v>
      </c>
      <c r="K28" s="135"/>
      <c r="R28" s="63"/>
    </row>
    <row r="29" spans="1:25" ht="15" customHeight="1" x14ac:dyDescent="0.25">
      <c r="A29" s="67" t="s">
        <v>76</v>
      </c>
      <c r="B29" s="147" t="s">
        <v>92</v>
      </c>
      <c r="C29" s="86">
        <v>1</v>
      </c>
      <c r="D29" s="115">
        <v>0.25</v>
      </c>
      <c r="E29" s="6" t="e">
        <f>VLOOKUP($A29,#REF!,3,FALSE)</f>
        <v>#REF!</v>
      </c>
      <c r="F29" s="96">
        <f t="shared" si="1"/>
        <v>1.3</v>
      </c>
      <c r="G29" s="95">
        <v>4</v>
      </c>
      <c r="H29" s="95">
        <v>2</v>
      </c>
      <c r="I29" s="118" t="e">
        <f t="shared" si="0"/>
        <v>#REF!</v>
      </c>
      <c r="K29" s="135"/>
      <c r="R29" s="63"/>
    </row>
    <row r="30" spans="1:25" ht="15" customHeight="1" x14ac:dyDescent="0.25">
      <c r="A30" s="67" t="s">
        <v>78</v>
      </c>
      <c r="B30" s="147" t="s">
        <v>117</v>
      </c>
      <c r="C30" s="86">
        <v>1</v>
      </c>
      <c r="D30" s="115">
        <v>1</v>
      </c>
      <c r="E30" s="6" t="e">
        <f>VLOOKUP($A30,#REF!,3,FALSE)</f>
        <v>#REF!</v>
      </c>
      <c r="F30" s="96">
        <f t="shared" si="1"/>
        <v>1.3</v>
      </c>
      <c r="G30" s="95">
        <v>4</v>
      </c>
      <c r="H30" s="95">
        <v>2</v>
      </c>
      <c r="I30" s="118" t="e">
        <f t="shared" si="0"/>
        <v>#REF!</v>
      </c>
      <c r="K30" s="135"/>
      <c r="R30" s="63"/>
    </row>
    <row r="31" spans="1:25" ht="15" customHeight="1" x14ac:dyDescent="0.25">
      <c r="A31" s="67" t="s">
        <v>79</v>
      </c>
      <c r="B31" s="147" t="s">
        <v>95</v>
      </c>
      <c r="C31" s="86">
        <v>1</v>
      </c>
      <c r="D31" s="115">
        <v>0.25</v>
      </c>
      <c r="E31" s="6" t="e">
        <f>VLOOKUP($A31,#REF!,3,FALSE)</f>
        <v>#REF!</v>
      </c>
      <c r="F31" s="96">
        <f t="shared" si="1"/>
        <v>1.3</v>
      </c>
      <c r="G31" s="95">
        <v>4</v>
      </c>
      <c r="H31" s="95">
        <v>2</v>
      </c>
      <c r="I31" s="118" t="e">
        <f t="shared" si="0"/>
        <v>#REF!</v>
      </c>
      <c r="K31" s="68"/>
      <c r="R31" s="63"/>
    </row>
    <row r="32" spans="1:25" ht="15" customHeight="1" x14ac:dyDescent="0.25">
      <c r="A32" s="67" t="s">
        <v>81</v>
      </c>
      <c r="B32" s="147" t="s">
        <v>87</v>
      </c>
      <c r="C32" s="86">
        <v>1</v>
      </c>
      <c r="D32" s="115">
        <v>1</v>
      </c>
      <c r="E32" s="6" t="e">
        <f>VLOOKUP($A32,#REF!,3,FALSE)</f>
        <v>#REF!</v>
      </c>
      <c r="F32" s="96">
        <v>1</v>
      </c>
      <c r="G32" s="95">
        <v>4</v>
      </c>
      <c r="H32" s="95">
        <v>2</v>
      </c>
      <c r="I32" s="118" t="e">
        <f t="shared" si="0"/>
        <v>#REF!</v>
      </c>
      <c r="K32" s="68"/>
      <c r="R32" s="63"/>
    </row>
    <row r="33" spans="1:25" ht="15" customHeight="1" x14ac:dyDescent="0.25">
      <c r="A33" s="67" t="s">
        <v>71</v>
      </c>
      <c r="B33" s="147" t="s">
        <v>116</v>
      </c>
      <c r="C33" s="86">
        <v>1</v>
      </c>
      <c r="D33" s="115">
        <v>0.5</v>
      </c>
      <c r="E33" s="6" t="e">
        <f>VLOOKUP($A33,#REF!,3,FALSE)</f>
        <v>#REF!</v>
      </c>
      <c r="F33" s="96">
        <f t="shared" si="1"/>
        <v>1.3</v>
      </c>
      <c r="G33" s="95">
        <v>4</v>
      </c>
      <c r="H33" s="95">
        <v>2</v>
      </c>
      <c r="I33" s="118" t="e">
        <f t="shared" si="0"/>
        <v>#REF!</v>
      </c>
      <c r="K33" s="68"/>
      <c r="R33" s="63"/>
    </row>
    <row r="34" spans="1:25" x14ac:dyDescent="0.25">
      <c r="A34" s="67" t="s">
        <v>80</v>
      </c>
      <c r="B34" s="148" t="s">
        <v>94</v>
      </c>
      <c r="C34" s="86">
        <v>1</v>
      </c>
      <c r="D34" s="115">
        <v>1</v>
      </c>
      <c r="E34" s="6" t="e">
        <f>VLOOKUP($A34,#REF!,3,FALSE)</f>
        <v>#REF!</v>
      </c>
      <c r="F34" s="96">
        <f t="shared" si="1"/>
        <v>1.3</v>
      </c>
      <c r="G34" s="95">
        <v>4</v>
      </c>
      <c r="H34" s="95">
        <v>2</v>
      </c>
      <c r="I34" s="118" t="e">
        <f t="shared" si="0"/>
        <v>#REF!</v>
      </c>
      <c r="K34" s="68"/>
      <c r="R34" s="63"/>
    </row>
    <row r="35" spans="1:25" ht="6.95" customHeight="1" x14ac:dyDescent="0.25">
      <c r="A35" s="67"/>
      <c r="B35" s="149"/>
      <c r="C35" s="88"/>
      <c r="D35" s="89"/>
      <c r="E35" s="90"/>
      <c r="F35" s="91"/>
      <c r="G35" s="91"/>
      <c r="H35" s="91"/>
      <c r="I35" s="92"/>
      <c r="K35" s="68"/>
      <c r="R35" s="63"/>
    </row>
    <row r="36" spans="1:25" ht="20.100000000000001" customHeight="1" x14ac:dyDescent="0.25">
      <c r="A36" s="67"/>
      <c r="B36" s="150" t="s">
        <v>4</v>
      </c>
      <c r="C36" s="84"/>
      <c r="D36" s="140"/>
      <c r="E36" s="140"/>
      <c r="F36" s="140"/>
      <c r="G36" s="140"/>
      <c r="H36" s="140"/>
      <c r="I36" s="93" t="e">
        <f>SUM(I22:I34)</f>
        <v>#REF!</v>
      </c>
      <c r="J36" s="93"/>
      <c r="K36" s="69"/>
      <c r="R36" s="63"/>
    </row>
    <row r="37" spans="1:25" ht="15" customHeight="1" x14ac:dyDescent="0.25">
      <c r="A37" s="67"/>
      <c r="B37" s="149"/>
      <c r="C37" s="88"/>
      <c r="D37" s="89"/>
      <c r="E37" s="90"/>
      <c r="F37" s="91"/>
      <c r="G37" s="91"/>
      <c r="H37" s="91"/>
      <c r="I37" s="92"/>
      <c r="K37" s="68"/>
      <c r="R37" s="63"/>
    </row>
    <row r="38" spans="1:25" ht="15" customHeight="1" x14ac:dyDescent="0.25">
      <c r="A38" s="33">
        <v>2</v>
      </c>
      <c r="B38" s="151" t="s">
        <v>5</v>
      </c>
      <c r="C38" s="51"/>
      <c r="D38" s="71"/>
      <c r="E38" s="52" t="s">
        <v>61</v>
      </c>
      <c r="F38" s="52"/>
      <c r="G38" s="52"/>
      <c r="H38" s="52"/>
      <c r="I38" s="53"/>
      <c r="R38" s="63"/>
    </row>
    <row r="39" spans="1:25" ht="15" customHeight="1" x14ac:dyDescent="0.25">
      <c r="A39" s="25"/>
      <c r="B39" s="152" t="s">
        <v>60</v>
      </c>
      <c r="C39" s="66"/>
      <c r="D39" s="72">
        <v>1</v>
      </c>
      <c r="E39" s="6">
        <v>950000</v>
      </c>
      <c r="F39" s="140"/>
      <c r="G39" s="95">
        <v>4</v>
      </c>
      <c r="H39" s="95">
        <v>2</v>
      </c>
      <c r="I39" s="70">
        <f>ROUND(D39*E39*G39+D39*E39*H39*$H$21,0)</f>
        <v>5738000</v>
      </c>
      <c r="K39" s="73"/>
      <c r="R39" s="63"/>
    </row>
    <row r="40" spans="1:25" ht="15" customHeight="1" x14ac:dyDescent="0.25">
      <c r="A40" s="34"/>
      <c r="B40" s="152" t="s">
        <v>101</v>
      </c>
      <c r="C40" s="66"/>
      <c r="D40" s="72">
        <v>1</v>
      </c>
      <c r="E40" s="6">
        <v>250000</v>
      </c>
      <c r="F40" s="140"/>
      <c r="G40" s="95">
        <v>4</v>
      </c>
      <c r="H40" s="95">
        <v>2</v>
      </c>
      <c r="I40" s="70">
        <f t="shared" ref="I40" si="2">+D40*E40*G40+D40*E40*H40*$H$21</f>
        <v>1510000</v>
      </c>
      <c r="K40" s="73"/>
      <c r="R40" s="63"/>
    </row>
    <row r="41" spans="1:25" ht="6.95" customHeight="1" x14ac:dyDescent="0.25">
      <c r="A41" s="67"/>
      <c r="B41" s="149"/>
      <c r="C41" s="88"/>
      <c r="D41" s="89"/>
      <c r="E41" s="90"/>
      <c r="F41" s="91"/>
      <c r="G41" s="91"/>
      <c r="H41" s="91"/>
      <c r="I41" s="92"/>
      <c r="K41" s="68"/>
      <c r="R41" s="63"/>
    </row>
    <row r="42" spans="1:25" ht="20.100000000000001" customHeight="1" x14ac:dyDescent="0.25">
      <c r="A42" s="67"/>
      <c r="B42" s="150" t="s">
        <v>6</v>
      </c>
      <c r="C42" s="38"/>
      <c r="D42" s="38"/>
      <c r="E42" s="38"/>
      <c r="F42" s="38"/>
      <c r="G42" s="38"/>
      <c r="H42" s="38"/>
      <c r="I42" s="93">
        <f>SUM(I39:I40)</f>
        <v>7248000</v>
      </c>
      <c r="J42" s="69"/>
      <c r="K42" s="69"/>
      <c r="R42" s="63"/>
    </row>
    <row r="43" spans="1:25" hidden="1" x14ac:dyDescent="0.25">
      <c r="A43" s="33">
        <v>3</v>
      </c>
      <c r="B43" s="150" t="s">
        <v>7</v>
      </c>
      <c r="C43" s="38"/>
      <c r="D43" s="66"/>
      <c r="E43" s="66"/>
      <c r="F43" s="66"/>
      <c r="G43" s="66"/>
      <c r="H43" s="66"/>
      <c r="I43" s="70"/>
      <c r="R43" s="63"/>
    </row>
    <row r="44" spans="1:25" ht="15" hidden="1" customHeight="1" x14ac:dyDescent="0.25">
      <c r="A44" s="33"/>
      <c r="B44" s="153" t="s">
        <v>8</v>
      </c>
      <c r="C44" s="55"/>
      <c r="D44" s="74"/>
      <c r="E44" s="74"/>
      <c r="F44" s="74"/>
      <c r="G44" s="74"/>
      <c r="H44" s="74"/>
      <c r="I44" s="56"/>
      <c r="J44" s="61" t="s">
        <v>56</v>
      </c>
      <c r="R44" s="63"/>
    </row>
    <row r="45" spans="1:25" s="2" customFormat="1" ht="18" hidden="1" customHeight="1" x14ac:dyDescent="0.25">
      <c r="A45" s="33"/>
      <c r="B45" s="150" t="s">
        <v>9</v>
      </c>
      <c r="C45" s="38"/>
      <c r="D45" s="38"/>
      <c r="E45" s="38"/>
      <c r="F45" s="38"/>
      <c r="G45" s="38"/>
      <c r="H45" s="38"/>
      <c r="I45" s="54">
        <f>SUM(I44:I44)</f>
        <v>0</v>
      </c>
      <c r="J45" s="69"/>
      <c r="K45" s="69"/>
      <c r="L45" s="108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5" customHeight="1" x14ac:dyDescent="0.25">
      <c r="A46" s="67"/>
      <c r="B46" s="149"/>
      <c r="C46" s="88"/>
      <c r="D46" s="89"/>
      <c r="E46" s="90"/>
      <c r="F46" s="91"/>
      <c r="G46" s="91"/>
      <c r="H46" s="91"/>
      <c r="I46" s="92"/>
      <c r="K46" s="68"/>
      <c r="R46" s="63"/>
    </row>
    <row r="47" spans="1:25" ht="15" customHeight="1" x14ac:dyDescent="0.25">
      <c r="A47" s="33">
        <v>4</v>
      </c>
      <c r="B47" s="151" t="s">
        <v>10</v>
      </c>
      <c r="C47" s="51"/>
      <c r="D47" s="75"/>
      <c r="E47" s="75"/>
      <c r="F47" s="100" t="s">
        <v>62</v>
      </c>
      <c r="G47" s="100"/>
      <c r="H47" s="100"/>
      <c r="I47" s="76"/>
      <c r="R47" s="63"/>
    </row>
    <row r="48" spans="1:25" ht="15" customHeight="1" x14ac:dyDescent="0.25">
      <c r="A48" s="67"/>
      <c r="B48" s="152" t="s">
        <v>11</v>
      </c>
      <c r="C48" s="66"/>
      <c r="D48" s="66"/>
      <c r="E48" s="66"/>
      <c r="F48" s="97">
        <v>4.8899999999999996E-4</v>
      </c>
      <c r="G48" s="97"/>
      <c r="H48" s="97"/>
      <c r="I48" s="70">
        <f>ROUND(($F$11*F48),0)</f>
        <v>772131</v>
      </c>
      <c r="R48" s="63"/>
    </row>
    <row r="49" spans="1:25" ht="15" customHeight="1" x14ac:dyDescent="0.25">
      <c r="A49" s="67"/>
      <c r="B49" s="152" t="s">
        <v>12</v>
      </c>
      <c r="C49" s="66"/>
      <c r="D49" s="66"/>
      <c r="E49" s="66"/>
      <c r="F49" s="98">
        <v>6.0899999999999995E-4</v>
      </c>
      <c r="G49" s="98"/>
      <c r="H49" s="98"/>
      <c r="I49" s="70">
        <f t="shared" ref="I49:I53" si="3">ROUND(($F$11*F49),0)</f>
        <v>961611</v>
      </c>
      <c r="R49" s="63"/>
    </row>
    <row r="50" spans="1:25" ht="15" customHeight="1" x14ac:dyDescent="0.25">
      <c r="A50" s="67"/>
      <c r="B50" s="152" t="s">
        <v>13</v>
      </c>
      <c r="C50" s="66"/>
      <c r="D50" s="66"/>
      <c r="E50" s="66"/>
      <c r="F50" s="98">
        <v>2.3999999999999998E-3</v>
      </c>
      <c r="G50" s="98"/>
      <c r="H50" s="98"/>
      <c r="I50" s="70">
        <f t="shared" si="3"/>
        <v>3789598</v>
      </c>
      <c r="R50" s="63"/>
    </row>
    <row r="51" spans="1:25" ht="15" customHeight="1" x14ac:dyDescent="0.25">
      <c r="A51" s="67"/>
      <c r="B51" s="152" t="s">
        <v>44</v>
      </c>
      <c r="C51" s="66"/>
      <c r="D51" s="66"/>
      <c r="E51" s="66"/>
      <c r="F51" s="98">
        <v>2.712E-3</v>
      </c>
      <c r="G51" s="98"/>
      <c r="H51" s="98"/>
      <c r="I51" s="70">
        <f t="shared" si="3"/>
        <v>4282246</v>
      </c>
      <c r="R51" s="63"/>
    </row>
    <row r="52" spans="1:25" ht="15" customHeight="1" x14ac:dyDescent="0.25">
      <c r="A52" s="77"/>
      <c r="B52" s="152" t="s">
        <v>14</v>
      </c>
      <c r="C52" s="66"/>
      <c r="D52" s="66"/>
      <c r="E52" s="66"/>
      <c r="F52" s="98">
        <v>2.032E-3</v>
      </c>
      <c r="G52" s="98"/>
      <c r="H52" s="98"/>
      <c r="I52" s="70">
        <f t="shared" si="3"/>
        <v>3208526</v>
      </c>
      <c r="R52" s="63"/>
    </row>
    <row r="53" spans="1:25" ht="15" customHeight="1" x14ac:dyDescent="0.25">
      <c r="A53" s="77"/>
      <c r="B53" s="152" t="s">
        <v>15</v>
      </c>
      <c r="C53" s="66"/>
      <c r="D53" s="66"/>
      <c r="E53" s="66"/>
      <c r="F53" s="98">
        <v>1.8090000000000001E-3</v>
      </c>
      <c r="G53" s="98"/>
      <c r="H53" s="98"/>
      <c r="I53" s="70">
        <f t="shared" si="3"/>
        <v>2856410</v>
      </c>
      <c r="R53" s="63"/>
    </row>
    <row r="54" spans="1:25" ht="6.95" customHeight="1" x14ac:dyDescent="0.25">
      <c r="A54" s="67"/>
      <c r="B54" s="149"/>
      <c r="C54" s="88"/>
      <c r="D54" s="89"/>
      <c r="E54" s="90"/>
      <c r="F54" s="91"/>
      <c r="G54" s="91"/>
      <c r="H54" s="91"/>
      <c r="I54" s="92"/>
      <c r="K54" s="68"/>
      <c r="R54" s="63"/>
    </row>
    <row r="55" spans="1:25" s="2" customFormat="1" ht="20.100000000000001" customHeight="1" x14ac:dyDescent="0.25">
      <c r="A55" s="37"/>
      <c r="B55" s="150" t="s">
        <v>16</v>
      </c>
      <c r="C55" s="84"/>
      <c r="D55" s="84"/>
      <c r="E55" s="84"/>
      <c r="F55" s="99">
        <f>SUM(F48:F53)</f>
        <v>1.0050999999999999E-2</v>
      </c>
      <c r="G55" s="99"/>
      <c r="H55" s="99"/>
      <c r="I55" s="93">
        <f>SUM(I48:I53)</f>
        <v>15870522</v>
      </c>
      <c r="J55" s="69"/>
      <c r="K55" s="69"/>
      <c r="L55" s="108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5" customHeight="1" x14ac:dyDescent="0.25">
      <c r="A56" s="67"/>
      <c r="B56" s="149"/>
      <c r="C56" s="88"/>
      <c r="D56" s="89"/>
      <c r="E56" s="90"/>
      <c r="F56" s="91"/>
      <c r="G56" s="91"/>
      <c r="H56" s="91"/>
      <c r="I56" s="92"/>
      <c r="K56" s="68"/>
      <c r="R56" s="63"/>
    </row>
    <row r="57" spans="1:25" ht="15" customHeight="1" x14ac:dyDescent="0.25">
      <c r="A57" s="37">
        <v>5</v>
      </c>
      <c r="B57" s="151" t="s">
        <v>17</v>
      </c>
      <c r="C57" s="51"/>
      <c r="D57" s="71"/>
      <c r="E57" s="75" t="s">
        <v>63</v>
      </c>
      <c r="F57" s="71"/>
      <c r="G57" s="71"/>
      <c r="H57" s="71"/>
      <c r="I57" s="76"/>
      <c r="R57" s="63"/>
    </row>
    <row r="58" spans="1:25" ht="15" customHeight="1" x14ac:dyDescent="0.25">
      <c r="A58" s="77"/>
      <c r="B58" s="152" t="s">
        <v>18</v>
      </c>
      <c r="C58" s="66"/>
      <c r="D58" s="78">
        <v>1</v>
      </c>
      <c r="E58" s="6">
        <v>300000</v>
      </c>
      <c r="F58" s="42">
        <v>1</v>
      </c>
      <c r="G58" s="95">
        <v>4</v>
      </c>
      <c r="H58" s="95">
        <v>2</v>
      </c>
      <c r="I58" s="70">
        <f>+ROUND(D58*E58*F58*G58+D58*F58*H58*$H$21,0)</f>
        <v>1200002</v>
      </c>
      <c r="K58" s="65"/>
      <c r="R58" s="63"/>
    </row>
    <row r="59" spans="1:25" ht="15" customHeight="1" x14ac:dyDescent="0.25">
      <c r="A59" s="77"/>
      <c r="B59" s="152" t="s">
        <v>19</v>
      </c>
      <c r="C59" s="66"/>
      <c r="D59" s="78">
        <v>1</v>
      </c>
      <c r="E59" s="6">
        <v>1100000</v>
      </c>
      <c r="F59" s="42">
        <v>1</v>
      </c>
      <c r="G59" s="42"/>
      <c r="H59" s="42"/>
      <c r="I59" s="70">
        <f>+D59*E59</f>
        <v>1100000</v>
      </c>
      <c r="K59" s="65"/>
      <c r="R59" s="63"/>
    </row>
    <row r="60" spans="1:25" ht="6.95" customHeight="1" x14ac:dyDescent="0.25">
      <c r="A60" s="67"/>
      <c r="B60" s="149"/>
      <c r="C60" s="88"/>
      <c r="D60" s="89"/>
      <c r="E60" s="90"/>
      <c r="F60" s="91"/>
      <c r="G60" s="91"/>
      <c r="H60" s="91"/>
      <c r="I60" s="92"/>
      <c r="K60" s="68"/>
      <c r="R60" s="63"/>
    </row>
    <row r="61" spans="1:25" s="2" customFormat="1" ht="20.100000000000001" customHeight="1" x14ac:dyDescent="0.25">
      <c r="A61" s="37"/>
      <c r="B61" s="150" t="s">
        <v>20</v>
      </c>
      <c r="C61" s="38"/>
      <c r="D61" s="38"/>
      <c r="E61" s="38"/>
      <c r="F61" s="38"/>
      <c r="G61" s="38"/>
      <c r="H61" s="38"/>
      <c r="I61" s="93">
        <f>SUM(I58:I59)</f>
        <v>2300002</v>
      </c>
      <c r="J61" s="69"/>
      <c r="K61" s="69"/>
      <c r="L61" s="108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5" customHeight="1" x14ac:dyDescent="0.25">
      <c r="A62" s="67"/>
      <c r="B62" s="149"/>
      <c r="C62" s="88"/>
      <c r="D62" s="89"/>
      <c r="E62" s="90"/>
      <c r="F62" s="91"/>
      <c r="G62" s="91"/>
      <c r="H62" s="91"/>
      <c r="I62" s="92"/>
      <c r="K62" s="68"/>
      <c r="R62" s="63"/>
    </row>
    <row r="63" spans="1:25" ht="15" customHeight="1" x14ac:dyDescent="0.25">
      <c r="A63" s="37">
        <v>6</v>
      </c>
      <c r="B63" s="151" t="s">
        <v>21</v>
      </c>
      <c r="C63" s="51"/>
      <c r="D63" s="71"/>
      <c r="E63" s="71"/>
      <c r="F63" s="100" t="s">
        <v>62</v>
      </c>
      <c r="G63" s="100"/>
      <c r="H63" s="100"/>
      <c r="I63" s="76"/>
      <c r="R63" s="63"/>
    </row>
    <row r="64" spans="1:25" ht="15" customHeight="1" x14ac:dyDescent="0.25">
      <c r="A64" s="77"/>
      <c r="B64" s="152" t="s">
        <v>22</v>
      </c>
      <c r="C64" s="66"/>
      <c r="D64" s="402"/>
      <c r="E64" s="402"/>
      <c r="F64" s="42">
        <f>6.9/1000</f>
        <v>6.9000000000000008E-3</v>
      </c>
      <c r="G64" s="42"/>
      <c r="H64" s="42"/>
      <c r="I64" s="70">
        <f t="shared" ref="I64:I69" si="4">ROUND(($F$11*F64),0)</f>
        <v>10895094</v>
      </c>
      <c r="R64" s="63"/>
    </row>
    <row r="65" spans="1:25" ht="15" customHeight="1" x14ac:dyDescent="0.25">
      <c r="A65" s="77"/>
      <c r="B65" s="152" t="s">
        <v>23</v>
      </c>
      <c r="C65" s="66"/>
      <c r="D65" s="140"/>
      <c r="E65" s="140"/>
      <c r="F65" s="42">
        <f>4/1000</f>
        <v>4.0000000000000001E-3</v>
      </c>
      <c r="G65" s="42"/>
      <c r="H65" s="42"/>
      <c r="I65" s="70">
        <f>ROUND(($F$11*F65),0)</f>
        <v>6315997</v>
      </c>
      <c r="R65" s="63"/>
    </row>
    <row r="66" spans="1:25" ht="15" customHeight="1" x14ac:dyDescent="0.25">
      <c r="A66" s="77"/>
      <c r="B66" s="152" t="s">
        <v>126</v>
      </c>
      <c r="C66" s="66"/>
      <c r="D66" s="140"/>
      <c r="E66" s="140"/>
      <c r="F66" s="42">
        <v>0.02</v>
      </c>
      <c r="G66" s="42"/>
      <c r="H66" s="42"/>
      <c r="I66" s="70">
        <f t="shared" si="4"/>
        <v>31579984</v>
      </c>
      <c r="R66" s="63"/>
    </row>
    <row r="67" spans="1:25" ht="15" customHeight="1" x14ac:dyDescent="0.25">
      <c r="A67" s="77"/>
      <c r="B67" s="152" t="s">
        <v>24</v>
      </c>
      <c r="C67" s="66"/>
      <c r="D67" s="140"/>
      <c r="E67" s="140"/>
      <c r="F67" s="42">
        <v>0.01</v>
      </c>
      <c r="G67" s="42"/>
      <c r="H67" s="42"/>
      <c r="I67" s="70">
        <f t="shared" si="4"/>
        <v>15789992</v>
      </c>
      <c r="R67" s="63"/>
    </row>
    <row r="68" spans="1:25" ht="15" customHeight="1" x14ac:dyDescent="0.25">
      <c r="A68" s="77"/>
      <c r="B68" s="152" t="s">
        <v>25</v>
      </c>
      <c r="C68" s="66"/>
      <c r="D68" s="140"/>
      <c r="E68" s="140"/>
      <c r="F68" s="42">
        <v>5.0000000000000001E-3</v>
      </c>
      <c r="G68" s="42"/>
      <c r="H68" s="42"/>
      <c r="I68" s="70">
        <f t="shared" si="4"/>
        <v>7894996</v>
      </c>
      <c r="R68" s="63"/>
    </row>
    <row r="69" spans="1:25" ht="15" customHeight="1" x14ac:dyDescent="0.25">
      <c r="A69" s="77"/>
      <c r="B69" s="152" t="s">
        <v>26</v>
      </c>
      <c r="C69" s="66"/>
      <c r="D69" s="140"/>
      <c r="E69" s="140"/>
      <c r="F69" s="42">
        <v>0.01</v>
      </c>
      <c r="G69" s="42"/>
      <c r="H69" s="42"/>
      <c r="I69" s="70">
        <f t="shared" si="4"/>
        <v>15789992</v>
      </c>
      <c r="R69" s="63"/>
    </row>
    <row r="70" spans="1:25" ht="24.95" customHeight="1" x14ac:dyDescent="0.25">
      <c r="A70" s="77"/>
      <c r="B70" s="154" t="s">
        <v>83</v>
      </c>
      <c r="C70" s="80"/>
      <c r="D70" s="140"/>
      <c r="E70" s="140"/>
      <c r="F70" s="42">
        <v>0.05</v>
      </c>
      <c r="G70" s="42"/>
      <c r="H70" s="42"/>
      <c r="I70" s="70">
        <f>ROUND(($F$11*F70),0)</f>
        <v>78949959</v>
      </c>
      <c r="R70" s="63"/>
    </row>
    <row r="71" spans="1:25" ht="6.95" customHeight="1" x14ac:dyDescent="0.25">
      <c r="A71" s="67"/>
      <c r="B71" s="149"/>
      <c r="C71" s="88"/>
      <c r="D71" s="89"/>
      <c r="E71" s="90"/>
      <c r="F71" s="91"/>
      <c r="G71" s="91"/>
      <c r="H71" s="91"/>
      <c r="I71" s="92"/>
      <c r="K71" s="68"/>
      <c r="R71" s="63"/>
    </row>
    <row r="72" spans="1:25" s="2" customFormat="1" ht="20.100000000000001" customHeight="1" x14ac:dyDescent="0.25">
      <c r="A72" s="37"/>
      <c r="B72" s="150" t="s">
        <v>27</v>
      </c>
      <c r="C72" s="38"/>
      <c r="D72" s="38"/>
      <c r="E72" s="38"/>
      <c r="F72" s="38"/>
      <c r="G72" s="38"/>
      <c r="H72" s="38"/>
      <c r="I72" s="93">
        <f>SUM(I64:I70)</f>
        <v>167216014</v>
      </c>
      <c r="J72" s="69"/>
      <c r="K72" s="69"/>
      <c r="L72" s="108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5" customHeight="1" x14ac:dyDescent="0.25">
      <c r="A73" s="67"/>
      <c r="B73" s="149"/>
      <c r="C73" s="88"/>
      <c r="D73" s="89"/>
      <c r="E73" s="90"/>
      <c r="F73" s="91"/>
      <c r="G73" s="91"/>
      <c r="H73" s="91"/>
      <c r="I73" s="92"/>
      <c r="K73" s="68"/>
      <c r="R73" s="63"/>
    </row>
    <row r="74" spans="1:25" ht="15" customHeight="1" x14ac:dyDescent="0.25">
      <c r="A74" s="37">
        <v>7</v>
      </c>
      <c r="B74" s="151" t="s">
        <v>28</v>
      </c>
      <c r="C74" s="51"/>
      <c r="D74" s="71"/>
      <c r="E74" s="71"/>
      <c r="F74" s="100" t="s">
        <v>61</v>
      </c>
      <c r="G74" s="100"/>
      <c r="H74" s="100"/>
      <c r="I74" s="76"/>
      <c r="R74" s="63"/>
    </row>
    <row r="75" spans="1:25" ht="45" x14ac:dyDescent="0.25">
      <c r="A75" s="67"/>
      <c r="B75" s="159" t="s">
        <v>113</v>
      </c>
      <c r="C75" s="43"/>
      <c r="D75" s="40"/>
      <c r="E75" s="40"/>
      <c r="F75" s="6">
        <v>0</v>
      </c>
      <c r="G75" s="44"/>
      <c r="H75" s="44"/>
      <c r="I75" s="81">
        <f>+F75</f>
        <v>0</v>
      </c>
      <c r="R75" s="63"/>
    </row>
    <row r="76" spans="1:25" ht="15" customHeight="1" x14ac:dyDescent="0.25">
      <c r="A76" s="67"/>
      <c r="B76" s="156" t="s">
        <v>111</v>
      </c>
      <c r="C76" s="43"/>
      <c r="D76" s="40"/>
      <c r="E76" s="40"/>
      <c r="F76" s="6">
        <v>0</v>
      </c>
      <c r="G76" s="44"/>
      <c r="H76" s="44"/>
      <c r="I76" s="81">
        <f>+F76</f>
        <v>0</v>
      </c>
      <c r="R76" s="63"/>
    </row>
    <row r="77" spans="1:25" ht="33.75" x14ac:dyDescent="0.25">
      <c r="A77" s="67"/>
      <c r="B77" s="159" t="s">
        <v>112</v>
      </c>
      <c r="C77" s="43"/>
      <c r="D77" s="40"/>
      <c r="E77" s="40"/>
      <c r="F77" s="6">
        <v>0</v>
      </c>
      <c r="G77" s="44"/>
      <c r="H77" s="44"/>
      <c r="I77" s="81">
        <f>+F77</f>
        <v>0</v>
      </c>
      <c r="R77" s="63"/>
    </row>
    <row r="78" spans="1:25" s="63" customFormat="1" ht="15" customHeight="1" x14ac:dyDescent="0.25">
      <c r="A78" s="67"/>
      <c r="B78" s="156" t="s">
        <v>98</v>
      </c>
      <c r="C78" s="43"/>
      <c r="D78" s="40"/>
      <c r="E78" s="40"/>
      <c r="F78" s="6">
        <v>125000</v>
      </c>
      <c r="G78" s="95">
        <v>4</v>
      </c>
      <c r="H78" s="95">
        <v>2</v>
      </c>
      <c r="I78" s="81">
        <f>ROUND(F78*G78+F78*H78*$H$21,0)</f>
        <v>755000</v>
      </c>
      <c r="J78" s="61"/>
      <c r="K78" s="35"/>
      <c r="L78" s="105"/>
    </row>
    <row r="79" spans="1:25" s="63" customFormat="1" ht="15" customHeight="1" x14ac:dyDescent="0.25">
      <c r="A79" s="67"/>
      <c r="B79" s="156" t="s">
        <v>99</v>
      </c>
      <c r="C79" s="43"/>
      <c r="D79" s="40"/>
      <c r="E79" s="40"/>
      <c r="F79" s="6">
        <v>100000</v>
      </c>
      <c r="G79" s="95">
        <v>0</v>
      </c>
      <c r="H79" s="95">
        <v>0</v>
      </c>
      <c r="I79" s="81">
        <f t="shared" ref="I79:I93" si="5">ROUND(F79*G79+F79*H79*$H$21,0)</f>
        <v>0</v>
      </c>
      <c r="J79" s="61"/>
      <c r="K79" s="35"/>
      <c r="L79" s="105"/>
    </row>
    <row r="80" spans="1:25" s="63" customFormat="1" ht="15" customHeight="1" x14ac:dyDescent="0.25">
      <c r="A80" s="67"/>
      <c r="B80" s="156" t="s">
        <v>100</v>
      </c>
      <c r="C80" s="43"/>
      <c r="D80" s="40"/>
      <c r="E80" s="40"/>
      <c r="F80" s="6">
        <v>25000</v>
      </c>
      <c r="G80" s="95">
        <v>4</v>
      </c>
      <c r="H80" s="95">
        <v>2</v>
      </c>
      <c r="I80" s="81">
        <f t="shared" si="5"/>
        <v>151000</v>
      </c>
      <c r="J80" s="61"/>
      <c r="K80" s="35"/>
      <c r="L80" s="105"/>
    </row>
    <row r="81" spans="1:25" s="63" customFormat="1" ht="15" customHeight="1" x14ac:dyDescent="0.25">
      <c r="A81" s="77"/>
      <c r="B81" s="156" t="s">
        <v>29</v>
      </c>
      <c r="C81" s="43"/>
      <c r="D81" s="40"/>
      <c r="E81" s="41"/>
      <c r="F81" s="6" t="e">
        <f>+#REF!</f>
        <v>#REF!</v>
      </c>
      <c r="G81" s="95">
        <v>0</v>
      </c>
      <c r="H81" s="95">
        <v>0</v>
      </c>
      <c r="I81" s="81" t="e">
        <f t="shared" si="5"/>
        <v>#REF!</v>
      </c>
      <c r="J81" s="61"/>
      <c r="K81" s="35"/>
      <c r="L81" s="105"/>
    </row>
    <row r="82" spans="1:25" s="63" customFormat="1" ht="15" customHeight="1" x14ac:dyDescent="0.25">
      <c r="A82" s="77"/>
      <c r="B82" s="147" t="s">
        <v>30</v>
      </c>
      <c r="C82" s="39"/>
      <c r="D82" s="40"/>
      <c r="E82" s="40"/>
      <c r="F82" s="6">
        <v>18000</v>
      </c>
      <c r="G82" s="95">
        <v>4</v>
      </c>
      <c r="H82" s="95">
        <v>2</v>
      </c>
      <c r="I82" s="81">
        <f t="shared" si="5"/>
        <v>108720</v>
      </c>
      <c r="J82" s="61"/>
      <c r="K82" s="35"/>
      <c r="L82" s="105"/>
    </row>
    <row r="83" spans="1:25" s="63" customFormat="1" ht="15" customHeight="1" x14ac:dyDescent="0.25">
      <c r="A83" s="77"/>
      <c r="B83" s="156" t="s">
        <v>97</v>
      </c>
      <c r="C83" s="43"/>
      <c r="D83" s="40"/>
      <c r="E83" s="40"/>
      <c r="F83" s="6">
        <v>75000</v>
      </c>
      <c r="G83" s="95">
        <v>1</v>
      </c>
      <c r="H83" s="95">
        <v>0</v>
      </c>
      <c r="I83" s="81">
        <f t="shared" si="5"/>
        <v>75000</v>
      </c>
      <c r="J83" s="61"/>
      <c r="K83" s="35"/>
      <c r="L83" s="105"/>
    </row>
    <row r="84" spans="1:25" s="63" customFormat="1" ht="15" customHeight="1" x14ac:dyDescent="0.25">
      <c r="A84" s="82"/>
      <c r="B84" s="156" t="s">
        <v>106</v>
      </c>
      <c r="C84" s="47"/>
      <c r="D84" s="48"/>
      <c r="E84" s="48"/>
      <c r="F84" s="49">
        <v>100000</v>
      </c>
      <c r="G84" s="49"/>
      <c r="H84" s="49"/>
      <c r="I84" s="81">
        <f t="shared" si="5"/>
        <v>0</v>
      </c>
      <c r="K84" s="50"/>
      <c r="L84" s="105"/>
    </row>
    <row r="85" spans="1:25" s="63" customFormat="1" ht="15" customHeight="1" x14ac:dyDescent="0.25">
      <c r="A85" s="77"/>
      <c r="B85" s="156" t="s">
        <v>107</v>
      </c>
      <c r="C85" s="43"/>
      <c r="D85" s="40"/>
      <c r="E85" s="40"/>
      <c r="F85" s="6">
        <v>10000</v>
      </c>
      <c r="G85" s="6"/>
      <c r="H85" s="6"/>
      <c r="I85" s="81">
        <f t="shared" si="5"/>
        <v>0</v>
      </c>
      <c r="J85" s="61"/>
      <c r="K85" s="35"/>
      <c r="L85" s="105"/>
    </row>
    <row r="86" spans="1:25" s="63" customFormat="1" ht="15" customHeight="1" x14ac:dyDescent="0.25">
      <c r="A86" s="77"/>
      <c r="B86" s="147" t="s">
        <v>31</v>
      </c>
      <c r="C86" s="39"/>
      <c r="D86" s="40"/>
      <c r="E86" s="40"/>
      <c r="F86" s="6">
        <v>0</v>
      </c>
      <c r="G86" s="6"/>
      <c r="H86" s="6"/>
      <c r="I86" s="81">
        <f t="shared" si="5"/>
        <v>0</v>
      </c>
      <c r="J86" s="61"/>
      <c r="K86" s="35"/>
      <c r="L86" s="105"/>
    </row>
    <row r="87" spans="1:25" s="63" customFormat="1" ht="15" customHeight="1" x14ac:dyDescent="0.25">
      <c r="A87" s="67"/>
      <c r="B87" s="156" t="s">
        <v>32</v>
      </c>
      <c r="C87" s="43"/>
      <c r="D87" s="40"/>
      <c r="E87" s="40"/>
      <c r="F87" s="6">
        <v>18000</v>
      </c>
      <c r="G87" s="95">
        <v>4</v>
      </c>
      <c r="H87" s="95">
        <v>2</v>
      </c>
      <c r="I87" s="81">
        <f t="shared" si="5"/>
        <v>108720</v>
      </c>
      <c r="J87" s="61"/>
      <c r="K87" s="35"/>
      <c r="L87" s="105"/>
    </row>
    <row r="88" spans="1:25" s="63" customFormat="1" ht="15" customHeight="1" x14ac:dyDescent="0.25">
      <c r="A88" s="67"/>
      <c r="B88" s="147" t="s">
        <v>33</v>
      </c>
      <c r="C88" s="39"/>
      <c r="D88" s="40"/>
      <c r="E88" s="40"/>
      <c r="F88" s="6">
        <v>15000</v>
      </c>
      <c r="G88" s="95">
        <v>4</v>
      </c>
      <c r="H88" s="95">
        <v>2</v>
      </c>
      <c r="I88" s="81">
        <f t="shared" si="5"/>
        <v>90600</v>
      </c>
      <c r="J88" s="61"/>
      <c r="K88" s="35"/>
      <c r="L88" s="105"/>
    </row>
    <row r="89" spans="1:25" s="63" customFormat="1" ht="24.95" customHeight="1" x14ac:dyDescent="0.25">
      <c r="A89" s="67"/>
      <c r="B89" s="154" t="s">
        <v>90</v>
      </c>
      <c r="C89" s="45"/>
      <c r="D89" s="40"/>
      <c r="E89" s="40"/>
      <c r="F89" s="6">
        <v>100000</v>
      </c>
      <c r="G89" s="95">
        <v>4</v>
      </c>
      <c r="H89" s="95">
        <v>2</v>
      </c>
      <c r="I89" s="81">
        <f t="shared" si="5"/>
        <v>604000</v>
      </c>
      <c r="J89" s="61"/>
      <c r="K89" s="35"/>
      <c r="L89" s="105"/>
    </row>
    <row r="90" spans="1:25" ht="15" customHeight="1" x14ac:dyDescent="0.25">
      <c r="A90" s="67"/>
      <c r="B90" s="147" t="s">
        <v>34</v>
      </c>
      <c r="C90" s="39"/>
      <c r="D90" s="40"/>
      <c r="E90" s="40"/>
      <c r="F90" s="6">
        <v>0</v>
      </c>
      <c r="G90" s="6"/>
      <c r="H90" s="6"/>
      <c r="I90" s="81">
        <f t="shared" si="5"/>
        <v>0</v>
      </c>
      <c r="K90" s="35"/>
      <c r="R90" s="63"/>
    </row>
    <row r="91" spans="1:25" ht="15" customHeight="1" x14ac:dyDescent="0.25">
      <c r="A91" s="67"/>
      <c r="B91" s="156" t="s">
        <v>35</v>
      </c>
      <c r="C91" s="43"/>
      <c r="D91" s="40"/>
      <c r="E91" s="40"/>
      <c r="F91" s="6">
        <v>100000</v>
      </c>
      <c r="G91" s="95">
        <v>4</v>
      </c>
      <c r="H91" s="95">
        <v>2</v>
      </c>
      <c r="I91" s="81">
        <f t="shared" si="5"/>
        <v>604000</v>
      </c>
      <c r="K91" s="35"/>
      <c r="R91" s="63"/>
    </row>
    <row r="92" spans="1:25" ht="15" customHeight="1" x14ac:dyDescent="0.25">
      <c r="A92" s="67"/>
      <c r="B92" s="156" t="s">
        <v>104</v>
      </c>
      <c r="C92" s="43"/>
      <c r="D92" s="40"/>
      <c r="E92" s="40"/>
      <c r="F92" s="6" t="e">
        <f>+#REF!</f>
        <v>#REF!</v>
      </c>
      <c r="G92" s="79">
        <v>2</v>
      </c>
      <c r="H92" s="79">
        <v>0</v>
      </c>
      <c r="I92" s="81" t="e">
        <f t="shared" si="5"/>
        <v>#REF!</v>
      </c>
      <c r="K92" s="35"/>
      <c r="R92" s="63"/>
    </row>
    <row r="93" spans="1:25" ht="15" customHeight="1" x14ac:dyDescent="0.25">
      <c r="A93" s="67"/>
      <c r="B93" s="156" t="s">
        <v>59</v>
      </c>
      <c r="C93" s="46"/>
      <c r="D93" s="40"/>
      <c r="E93" s="40"/>
      <c r="F93" s="6">
        <v>75000</v>
      </c>
      <c r="G93" s="95">
        <v>4</v>
      </c>
      <c r="H93" s="95">
        <v>2</v>
      </c>
      <c r="I93" s="81">
        <f t="shared" si="5"/>
        <v>453000</v>
      </c>
      <c r="K93" s="35"/>
      <c r="R93" s="63"/>
    </row>
    <row r="94" spans="1:25" ht="6.95" customHeight="1" x14ac:dyDescent="0.25">
      <c r="A94" s="67"/>
      <c r="B94" s="87"/>
      <c r="C94" s="88"/>
      <c r="D94" s="89"/>
      <c r="E94" s="90"/>
      <c r="F94" s="91"/>
      <c r="G94" s="91"/>
      <c r="H94" s="91"/>
      <c r="I94" s="92"/>
      <c r="K94" s="68"/>
      <c r="R94" s="63"/>
    </row>
    <row r="95" spans="1:25" s="2" customFormat="1" ht="20.100000000000001" customHeight="1" x14ac:dyDescent="0.25">
      <c r="A95" s="37"/>
      <c r="B95" s="38" t="s">
        <v>36</v>
      </c>
      <c r="C95" s="38"/>
      <c r="D95" s="38"/>
      <c r="E95" s="38"/>
      <c r="F95" s="38"/>
      <c r="G95" s="38"/>
      <c r="H95" s="38"/>
      <c r="I95" s="93" t="e">
        <f>SUM(I75:I93)</f>
        <v>#REF!</v>
      </c>
      <c r="J95" s="69"/>
      <c r="K95" s="69"/>
      <c r="L95" s="108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5" customHeight="1" x14ac:dyDescent="0.25">
      <c r="A96" s="67"/>
      <c r="B96" s="87"/>
      <c r="C96" s="88"/>
      <c r="D96" s="89"/>
      <c r="E96" s="90"/>
      <c r="F96" s="91"/>
      <c r="G96" s="91"/>
      <c r="H96" s="91"/>
      <c r="I96" s="92"/>
      <c r="K96" s="68"/>
      <c r="R96" s="63"/>
    </row>
    <row r="97" spans="1:25" ht="20.100000000000001" customHeight="1" x14ac:dyDescent="0.25">
      <c r="A97" s="77"/>
      <c r="B97" s="395" t="s">
        <v>37</v>
      </c>
      <c r="C97" s="395"/>
      <c r="D97" s="395"/>
      <c r="E97" s="395"/>
      <c r="F97" s="143" t="e">
        <f>+ROUND(J97/F12,4)</f>
        <v>#REF!</v>
      </c>
      <c r="G97" s="71"/>
      <c r="H97" s="71"/>
      <c r="I97" s="93" t="e">
        <f>ROUND(F97*$F$12,0)</f>
        <v>#REF!</v>
      </c>
      <c r="J97" s="109" t="e">
        <f>+I36+I42+I55+I61+I72+I95</f>
        <v>#REF!</v>
      </c>
      <c r="R97" s="63"/>
    </row>
    <row r="98" spans="1:25" ht="6.95" customHeight="1" x14ac:dyDescent="0.25">
      <c r="A98" s="77"/>
      <c r="B98" s="77"/>
      <c r="C98" s="77"/>
      <c r="D98" s="77"/>
      <c r="E98" s="77"/>
      <c r="F98" s="144"/>
      <c r="I98" s="102"/>
      <c r="R98" s="63"/>
    </row>
    <row r="99" spans="1:25" ht="20.100000000000001" customHeight="1" x14ac:dyDescent="0.25">
      <c r="A99" s="77"/>
      <c r="B99" s="395" t="s">
        <v>102</v>
      </c>
      <c r="C99" s="395"/>
      <c r="D99" s="395"/>
      <c r="E99" s="395"/>
      <c r="F99" s="143">
        <v>0.01</v>
      </c>
      <c r="G99" s="71"/>
      <c r="H99" s="71"/>
      <c r="I99" s="93">
        <f>ROUND(F99*$F$12,0)-1</f>
        <v>11446999</v>
      </c>
      <c r="R99" s="63"/>
    </row>
    <row r="100" spans="1:25" ht="6.95" customHeight="1" x14ac:dyDescent="0.25">
      <c r="A100" s="77"/>
      <c r="B100" s="37"/>
      <c r="C100" s="37"/>
      <c r="D100" s="77"/>
      <c r="E100" s="77"/>
      <c r="F100" s="144"/>
      <c r="I100" s="102"/>
      <c r="R100" s="63"/>
    </row>
    <row r="101" spans="1:25" ht="20.100000000000001" customHeight="1" x14ac:dyDescent="0.25">
      <c r="A101" s="77"/>
      <c r="B101" s="395" t="s">
        <v>89</v>
      </c>
      <c r="C101" s="395"/>
      <c r="D101" s="395"/>
      <c r="E101" s="395"/>
      <c r="F101" s="143">
        <v>0.05</v>
      </c>
      <c r="G101" s="71"/>
      <c r="H101" s="71"/>
      <c r="I101" s="93">
        <f>ROUND(F101*$F$12,0)</f>
        <v>57235000</v>
      </c>
      <c r="R101" s="63"/>
    </row>
    <row r="102" spans="1:25" ht="6.95" customHeight="1" x14ac:dyDescent="0.25">
      <c r="A102" s="77"/>
      <c r="B102" s="2"/>
      <c r="C102" s="2"/>
      <c r="F102" s="145"/>
      <c r="I102" s="73"/>
      <c r="R102" s="63"/>
    </row>
    <row r="103" spans="1:25" s="2" customFormat="1" ht="20.100000000000001" customHeight="1" x14ac:dyDescent="0.25">
      <c r="A103" s="37"/>
      <c r="B103" s="396" t="s">
        <v>96</v>
      </c>
      <c r="C103" s="397"/>
      <c r="D103" s="397"/>
      <c r="E103" s="398"/>
      <c r="F103" s="146" t="e">
        <f>SUM(F97:F101)</f>
        <v>#REF!</v>
      </c>
      <c r="G103" s="71"/>
      <c r="H103" s="71"/>
      <c r="I103" s="93" t="e">
        <f>+ROUND(F103*F12,0)</f>
        <v>#REF!</v>
      </c>
      <c r="J103" s="83">
        <v>434299180</v>
      </c>
      <c r="K103" s="69"/>
      <c r="L103" s="110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x14ac:dyDescent="0.25">
      <c r="A104" s="77"/>
      <c r="I104" s="73"/>
      <c r="R104" s="63"/>
    </row>
    <row r="105" spans="1:25" x14ac:dyDescent="0.25">
      <c r="A105" s="77"/>
      <c r="I105" s="73"/>
      <c r="R105" s="63"/>
    </row>
    <row r="106" spans="1:25" x14ac:dyDescent="0.25">
      <c r="A106" s="77"/>
      <c r="I106" s="73"/>
      <c r="J106" s="103"/>
      <c r="R106" s="63"/>
    </row>
    <row r="107" spans="1:25" s="63" customFormat="1" x14ac:dyDescent="0.25">
      <c r="A107" s="77"/>
      <c r="B107" s="61"/>
      <c r="C107" s="61"/>
      <c r="D107" s="61"/>
      <c r="E107" s="61"/>
      <c r="F107" s="61"/>
      <c r="G107" s="61"/>
      <c r="H107" s="61"/>
      <c r="I107" s="73"/>
      <c r="J107" s="61"/>
      <c r="K107" s="62"/>
      <c r="L107" s="105"/>
    </row>
    <row r="108" spans="1:25" s="63" customFormat="1" ht="22.5" x14ac:dyDescent="0.25">
      <c r="A108" s="77"/>
      <c r="B108" s="157" t="s">
        <v>0</v>
      </c>
      <c r="C108" s="157" t="s">
        <v>1</v>
      </c>
      <c r="D108" s="157" t="s">
        <v>2</v>
      </c>
      <c r="E108" s="161" t="s">
        <v>65</v>
      </c>
      <c r="F108" s="161" t="s">
        <v>64</v>
      </c>
      <c r="G108" s="161" t="s">
        <v>132</v>
      </c>
      <c r="H108" s="161" t="s">
        <v>108</v>
      </c>
      <c r="I108" s="162" t="s">
        <v>3</v>
      </c>
      <c r="J108" s="61"/>
      <c r="K108" s="62"/>
      <c r="L108" s="105"/>
    </row>
    <row r="109" spans="1:25" ht="6.95" customHeight="1" x14ac:dyDescent="0.25">
      <c r="A109" s="77"/>
      <c r="B109" s="163"/>
      <c r="C109" s="163"/>
      <c r="D109" s="163"/>
      <c r="E109" s="163"/>
      <c r="F109" s="163"/>
      <c r="G109" s="163"/>
      <c r="H109" s="163"/>
      <c r="I109" s="164"/>
      <c r="J109" s="103"/>
      <c r="R109" s="63"/>
    </row>
    <row r="110" spans="1:25" s="63" customFormat="1" ht="15" hidden="1" x14ac:dyDescent="0.25">
      <c r="A110" s="77"/>
      <c r="B110" s="160" t="s">
        <v>127</v>
      </c>
      <c r="C110" s="84"/>
      <c r="D110" s="84"/>
      <c r="E110" s="38"/>
      <c r="F110" s="38"/>
      <c r="G110" s="38"/>
      <c r="H110" s="139">
        <v>1.02</v>
      </c>
      <c r="I110" s="165"/>
      <c r="J110" s="61"/>
      <c r="K110" s="61"/>
      <c r="L110" s="105"/>
    </row>
    <row r="111" spans="1:25" s="63" customFormat="1" ht="20.100000000000001" customHeight="1" x14ac:dyDescent="0.25">
      <c r="A111" s="77"/>
      <c r="B111" s="147" t="s">
        <v>84</v>
      </c>
      <c r="C111" s="85">
        <v>1</v>
      </c>
      <c r="D111" s="166">
        <v>0.5</v>
      </c>
      <c r="E111" s="167">
        <v>4250000</v>
      </c>
      <c r="F111" s="96">
        <v>1.62</v>
      </c>
      <c r="G111" s="168">
        <v>6</v>
      </c>
      <c r="H111" s="168">
        <v>2</v>
      </c>
      <c r="I111" s="169">
        <f>+C111*D111*E111*F111*G111</f>
        <v>20655000</v>
      </c>
      <c r="J111" s="61"/>
      <c r="K111" s="61"/>
      <c r="L111" s="105"/>
    </row>
    <row r="112" spans="1:25" s="63" customFormat="1" x14ac:dyDescent="0.25">
      <c r="A112" s="77"/>
      <c r="B112" s="61"/>
      <c r="C112" s="61"/>
      <c r="D112" s="61"/>
      <c r="E112" s="61"/>
      <c r="F112" s="61"/>
      <c r="G112" s="61"/>
      <c r="H112" s="61"/>
      <c r="I112" s="73"/>
      <c r="J112" s="61"/>
      <c r="K112" s="61"/>
      <c r="L112" s="105"/>
    </row>
    <row r="113" spans="1:12" s="63" customFormat="1" x14ac:dyDescent="0.25">
      <c r="A113" s="77"/>
      <c r="B113" s="61"/>
      <c r="C113" s="61"/>
      <c r="D113" s="61"/>
      <c r="E113" s="61"/>
      <c r="F113" s="61"/>
      <c r="G113" s="61"/>
      <c r="H113" s="61"/>
      <c r="I113" s="73"/>
      <c r="J113" s="61"/>
      <c r="K113" s="61"/>
      <c r="L113" s="105"/>
    </row>
    <row r="114" spans="1:12" s="63" customFormat="1" x14ac:dyDescent="0.25">
      <c r="A114" s="77"/>
      <c r="B114" s="61"/>
      <c r="C114" s="61"/>
      <c r="D114" s="61"/>
      <c r="E114" s="61"/>
      <c r="F114" s="61"/>
      <c r="G114" s="61"/>
      <c r="H114" s="61"/>
      <c r="I114" s="73"/>
      <c r="J114" s="61"/>
      <c r="K114" s="61"/>
      <c r="L114" s="105"/>
    </row>
    <row r="115" spans="1:12" s="63" customFormat="1" x14ac:dyDescent="0.25">
      <c r="A115" s="77"/>
      <c r="B115" s="61"/>
      <c r="C115" s="61"/>
      <c r="D115" s="61"/>
      <c r="E115" s="61"/>
      <c r="F115" s="61"/>
      <c r="G115" s="61"/>
      <c r="H115" s="61"/>
      <c r="I115" s="73"/>
      <c r="J115" s="61"/>
      <c r="K115" s="61"/>
      <c r="L115" s="105"/>
    </row>
    <row r="116" spans="1:12" s="63" customFormat="1" x14ac:dyDescent="0.25">
      <c r="A116" s="77"/>
      <c r="B116" s="61"/>
      <c r="C116" s="61"/>
      <c r="D116" s="61"/>
      <c r="E116" s="61"/>
      <c r="F116" s="61"/>
      <c r="G116" s="61"/>
      <c r="H116" s="61"/>
      <c r="I116" s="73"/>
      <c r="J116" s="61"/>
      <c r="K116" s="61"/>
      <c r="L116" s="105"/>
    </row>
    <row r="117" spans="1:12" s="63" customFormat="1" x14ac:dyDescent="0.25">
      <c r="A117" s="77"/>
      <c r="B117" s="61"/>
      <c r="C117" s="61"/>
      <c r="D117" s="61"/>
      <c r="E117" s="61"/>
      <c r="F117" s="61"/>
      <c r="G117" s="61"/>
      <c r="H117" s="61"/>
      <c r="I117" s="73"/>
      <c r="J117" s="61"/>
      <c r="K117" s="61"/>
      <c r="L117" s="105"/>
    </row>
    <row r="118" spans="1:12" s="63" customFormat="1" x14ac:dyDescent="0.25">
      <c r="A118" s="77"/>
      <c r="B118" s="61"/>
      <c r="C118" s="61"/>
      <c r="D118" s="61"/>
      <c r="E118" s="61"/>
      <c r="F118" s="61"/>
      <c r="G118" s="61"/>
      <c r="H118" s="61"/>
      <c r="I118" s="73"/>
      <c r="J118" s="61"/>
      <c r="K118" s="61"/>
      <c r="L118" s="105"/>
    </row>
    <row r="119" spans="1:12" s="63" customFormat="1" x14ac:dyDescent="0.25">
      <c r="A119" s="77"/>
      <c r="B119" s="61"/>
      <c r="C119" s="61"/>
      <c r="D119" s="61"/>
      <c r="E119" s="61"/>
      <c r="F119" s="61"/>
      <c r="G119" s="61"/>
      <c r="H119" s="61"/>
      <c r="I119" s="73"/>
      <c r="J119" s="61"/>
      <c r="K119" s="61"/>
      <c r="L119" s="105"/>
    </row>
    <row r="120" spans="1:12" s="63" customFormat="1" x14ac:dyDescent="0.25">
      <c r="A120" s="77"/>
      <c r="B120" s="61"/>
      <c r="C120" s="61"/>
      <c r="D120" s="61"/>
      <c r="E120" s="61"/>
      <c r="F120" s="61"/>
      <c r="G120" s="61"/>
      <c r="H120" s="61"/>
      <c r="I120" s="73"/>
      <c r="J120" s="61"/>
      <c r="K120" s="61"/>
      <c r="L120" s="105"/>
    </row>
    <row r="121" spans="1:12" s="63" customFormat="1" x14ac:dyDescent="0.25">
      <c r="A121" s="77"/>
      <c r="B121" s="61"/>
      <c r="C121" s="61"/>
      <c r="D121" s="61"/>
      <c r="E121" s="61"/>
      <c r="F121" s="61"/>
      <c r="G121" s="61"/>
      <c r="H121" s="61"/>
      <c r="I121" s="73"/>
      <c r="J121" s="61"/>
      <c r="K121" s="61"/>
      <c r="L121" s="105"/>
    </row>
    <row r="122" spans="1:12" s="63" customFormat="1" x14ac:dyDescent="0.25">
      <c r="A122" s="77"/>
      <c r="B122" s="61"/>
      <c r="C122" s="61"/>
      <c r="D122" s="61"/>
      <c r="E122" s="61"/>
      <c r="F122" s="61"/>
      <c r="G122" s="61"/>
      <c r="H122" s="61"/>
      <c r="I122" s="73"/>
      <c r="J122" s="61"/>
      <c r="K122" s="61"/>
      <c r="L122" s="105"/>
    </row>
    <row r="123" spans="1:12" s="63" customFormat="1" x14ac:dyDescent="0.25">
      <c r="A123" s="77"/>
      <c r="B123" s="61"/>
      <c r="C123" s="61"/>
      <c r="D123" s="61"/>
      <c r="E123" s="61"/>
      <c r="F123" s="61"/>
      <c r="G123" s="61"/>
      <c r="H123" s="61"/>
      <c r="I123" s="73"/>
      <c r="J123" s="61"/>
      <c r="K123" s="61"/>
      <c r="L123" s="105"/>
    </row>
    <row r="124" spans="1:12" s="63" customFormat="1" x14ac:dyDescent="0.25">
      <c r="A124" s="77"/>
      <c r="B124" s="61"/>
      <c r="C124" s="61"/>
      <c r="D124" s="61"/>
      <c r="E124" s="61"/>
      <c r="F124" s="61"/>
      <c r="G124" s="61"/>
      <c r="H124" s="61"/>
      <c r="I124" s="73"/>
      <c r="J124" s="61"/>
      <c r="K124" s="61"/>
      <c r="L124" s="105"/>
    </row>
    <row r="125" spans="1:12" s="63" customFormat="1" x14ac:dyDescent="0.25">
      <c r="A125" s="77"/>
      <c r="B125" s="61"/>
      <c r="C125" s="61"/>
      <c r="D125" s="61"/>
      <c r="E125" s="61"/>
      <c r="F125" s="61"/>
      <c r="G125" s="61"/>
      <c r="H125" s="61"/>
      <c r="I125" s="73"/>
      <c r="J125" s="61"/>
      <c r="K125" s="61"/>
      <c r="L125" s="105"/>
    </row>
    <row r="126" spans="1:12" s="63" customFormat="1" x14ac:dyDescent="0.25">
      <c r="A126" s="77"/>
      <c r="B126" s="61"/>
      <c r="C126" s="61"/>
      <c r="D126" s="61"/>
      <c r="E126" s="61"/>
      <c r="F126" s="61"/>
      <c r="G126" s="61"/>
      <c r="H126" s="61"/>
      <c r="I126" s="73"/>
      <c r="J126" s="61"/>
      <c r="K126" s="61"/>
      <c r="L126" s="105"/>
    </row>
    <row r="127" spans="1:12" s="63" customFormat="1" x14ac:dyDescent="0.25">
      <c r="A127" s="77"/>
      <c r="B127" s="61"/>
      <c r="C127" s="61"/>
      <c r="D127" s="61"/>
      <c r="E127" s="61"/>
      <c r="F127" s="61"/>
      <c r="G127" s="61"/>
      <c r="H127" s="61"/>
      <c r="I127" s="73"/>
      <c r="J127" s="61"/>
      <c r="K127" s="61"/>
      <c r="L127" s="105"/>
    </row>
    <row r="128" spans="1:12" s="63" customFormat="1" x14ac:dyDescent="0.25">
      <c r="A128" s="77"/>
      <c r="B128" s="61"/>
      <c r="C128" s="61"/>
      <c r="D128" s="61"/>
      <c r="E128" s="61"/>
      <c r="F128" s="61"/>
      <c r="G128" s="61"/>
      <c r="H128" s="61"/>
      <c r="I128" s="73"/>
      <c r="J128" s="61"/>
      <c r="K128" s="61"/>
      <c r="L128" s="105"/>
    </row>
    <row r="129" spans="1:12" s="63" customFormat="1" x14ac:dyDescent="0.25">
      <c r="A129" s="77"/>
      <c r="B129" s="61"/>
      <c r="C129" s="61"/>
      <c r="D129" s="61"/>
      <c r="E129" s="61"/>
      <c r="F129" s="61"/>
      <c r="G129" s="61"/>
      <c r="H129" s="61"/>
      <c r="I129" s="83"/>
      <c r="J129" s="61"/>
      <c r="K129" s="61"/>
      <c r="L129" s="105"/>
    </row>
    <row r="130" spans="1:12" s="63" customFormat="1" x14ac:dyDescent="0.25">
      <c r="A130" s="77"/>
      <c r="B130" s="61"/>
      <c r="C130" s="61"/>
      <c r="D130" s="61"/>
      <c r="E130" s="61"/>
      <c r="F130" s="61"/>
      <c r="G130" s="61"/>
      <c r="H130" s="61"/>
      <c r="I130" s="83"/>
      <c r="J130" s="61"/>
      <c r="K130" s="61"/>
      <c r="L130" s="105"/>
    </row>
    <row r="131" spans="1:12" s="63" customFormat="1" x14ac:dyDescent="0.25">
      <c r="A131" s="77"/>
      <c r="B131" s="61"/>
      <c r="C131" s="61"/>
      <c r="D131" s="61"/>
      <c r="E131" s="61"/>
      <c r="F131" s="61"/>
      <c r="G131" s="61"/>
      <c r="H131" s="61"/>
      <c r="I131" s="83"/>
      <c r="J131" s="61"/>
      <c r="K131" s="61"/>
      <c r="L131" s="105"/>
    </row>
    <row r="132" spans="1:12" s="63" customFormat="1" x14ac:dyDescent="0.25">
      <c r="A132" s="77"/>
      <c r="B132" s="61"/>
      <c r="C132" s="61"/>
      <c r="D132" s="61"/>
      <c r="E132" s="61"/>
      <c r="F132" s="61"/>
      <c r="G132" s="61"/>
      <c r="H132" s="61"/>
      <c r="I132" s="83"/>
      <c r="J132" s="61"/>
      <c r="K132" s="61"/>
      <c r="L132" s="105"/>
    </row>
    <row r="133" spans="1:12" s="63" customFormat="1" x14ac:dyDescent="0.25">
      <c r="A133" s="77"/>
      <c r="B133" s="61"/>
      <c r="C133" s="61"/>
      <c r="D133" s="61"/>
      <c r="E133" s="61"/>
      <c r="F133" s="61"/>
      <c r="G133" s="61"/>
      <c r="H133" s="61"/>
      <c r="I133" s="83"/>
      <c r="J133" s="61"/>
      <c r="K133" s="61"/>
      <c r="L133" s="105"/>
    </row>
    <row r="134" spans="1:12" s="63" customFormat="1" x14ac:dyDescent="0.25">
      <c r="A134" s="77"/>
      <c r="B134" s="61"/>
      <c r="C134" s="61"/>
      <c r="D134" s="61"/>
      <c r="E134" s="61"/>
      <c r="F134" s="61"/>
      <c r="G134" s="61"/>
      <c r="H134" s="61"/>
      <c r="I134" s="83"/>
      <c r="J134" s="61"/>
      <c r="K134" s="61"/>
      <c r="L134" s="105"/>
    </row>
    <row r="135" spans="1:12" s="63" customFormat="1" x14ac:dyDescent="0.25">
      <c r="A135" s="77"/>
      <c r="B135" s="61"/>
      <c r="C135" s="61"/>
      <c r="D135" s="61"/>
      <c r="E135" s="61"/>
      <c r="F135" s="61"/>
      <c r="G135" s="61"/>
      <c r="H135" s="61"/>
      <c r="I135" s="83"/>
      <c r="J135" s="61"/>
      <c r="K135" s="61"/>
      <c r="L135" s="105"/>
    </row>
    <row r="136" spans="1:12" s="63" customFormat="1" x14ac:dyDescent="0.25">
      <c r="A136" s="77"/>
      <c r="B136" s="61"/>
      <c r="C136" s="61"/>
      <c r="D136" s="61"/>
      <c r="E136" s="61"/>
      <c r="F136" s="61"/>
      <c r="G136" s="61"/>
      <c r="H136" s="61"/>
      <c r="I136" s="83"/>
      <c r="J136" s="61"/>
      <c r="K136" s="61"/>
      <c r="L136" s="105"/>
    </row>
    <row r="137" spans="1:12" s="63" customFormat="1" x14ac:dyDescent="0.25">
      <c r="A137" s="77"/>
      <c r="B137" s="61"/>
      <c r="C137" s="61"/>
      <c r="D137" s="61"/>
      <c r="E137" s="61"/>
      <c r="F137" s="61"/>
      <c r="G137" s="61"/>
      <c r="H137" s="61"/>
      <c r="I137" s="83"/>
      <c r="J137" s="61"/>
      <c r="K137" s="61"/>
      <c r="L137" s="105"/>
    </row>
    <row r="138" spans="1:12" s="63" customFormat="1" x14ac:dyDescent="0.25">
      <c r="A138" s="77"/>
      <c r="B138" s="61"/>
      <c r="C138" s="61"/>
      <c r="D138" s="61"/>
      <c r="E138" s="61"/>
      <c r="F138" s="61"/>
      <c r="G138" s="61"/>
      <c r="H138" s="61"/>
      <c r="I138" s="83"/>
      <c r="J138" s="61"/>
      <c r="K138" s="61"/>
      <c r="L138" s="105"/>
    </row>
    <row r="139" spans="1:12" s="63" customFormat="1" x14ac:dyDescent="0.25">
      <c r="A139" s="77"/>
      <c r="B139" s="61"/>
      <c r="C139" s="61"/>
      <c r="D139" s="61"/>
      <c r="E139" s="61"/>
      <c r="F139" s="61"/>
      <c r="G139" s="61"/>
      <c r="H139" s="61"/>
      <c r="I139" s="83"/>
      <c r="J139" s="61"/>
      <c r="K139" s="61"/>
      <c r="L139" s="105"/>
    </row>
    <row r="140" spans="1:12" s="63" customFormat="1" x14ac:dyDescent="0.25">
      <c r="A140" s="77"/>
      <c r="B140" s="61"/>
      <c r="C140" s="61"/>
      <c r="D140" s="61"/>
      <c r="E140" s="61"/>
      <c r="F140" s="61"/>
      <c r="G140" s="61"/>
      <c r="H140" s="61"/>
      <c r="I140" s="83"/>
      <c r="J140" s="61"/>
      <c r="K140" s="61"/>
      <c r="L140" s="105"/>
    </row>
    <row r="141" spans="1:12" s="63" customFormat="1" x14ac:dyDescent="0.25">
      <c r="A141" s="77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105"/>
    </row>
    <row r="142" spans="1:12" s="63" customFormat="1" x14ac:dyDescent="0.25">
      <c r="A142" s="77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105"/>
    </row>
    <row r="143" spans="1:12" s="63" customFormat="1" x14ac:dyDescent="0.25">
      <c r="A143" s="77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105"/>
    </row>
    <row r="144" spans="1:12" s="63" customFormat="1" x14ac:dyDescent="0.25">
      <c r="A144" s="77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105"/>
    </row>
    <row r="145" spans="1:12" s="63" customFormat="1" x14ac:dyDescent="0.25">
      <c r="A145" s="77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105"/>
    </row>
    <row r="146" spans="1:12" s="63" customFormat="1" x14ac:dyDescent="0.25">
      <c r="A146" s="77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105"/>
    </row>
    <row r="147" spans="1:12" s="63" customFormat="1" x14ac:dyDescent="0.25">
      <c r="A147" s="77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105"/>
    </row>
    <row r="148" spans="1:12" s="63" customFormat="1" x14ac:dyDescent="0.25">
      <c r="A148" s="77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105"/>
    </row>
    <row r="149" spans="1:12" s="63" customFormat="1" x14ac:dyDescent="0.25">
      <c r="A149" s="77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105"/>
    </row>
    <row r="150" spans="1:12" s="63" customFormat="1" x14ac:dyDescent="0.25">
      <c r="A150" s="77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105"/>
    </row>
    <row r="151" spans="1:12" s="63" customFormat="1" x14ac:dyDescent="0.25">
      <c r="A151" s="77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105"/>
    </row>
    <row r="152" spans="1:12" s="63" customFormat="1" x14ac:dyDescent="0.25">
      <c r="A152" s="77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105"/>
    </row>
    <row r="153" spans="1:12" s="63" customFormat="1" x14ac:dyDescent="0.25">
      <c r="A153" s="77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105"/>
    </row>
    <row r="154" spans="1:12" s="63" customFormat="1" x14ac:dyDescent="0.25">
      <c r="A154" s="77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105"/>
    </row>
    <row r="155" spans="1:12" s="63" customFormat="1" x14ac:dyDescent="0.25">
      <c r="A155" s="77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105"/>
    </row>
    <row r="156" spans="1:12" s="63" customFormat="1" x14ac:dyDescent="0.25">
      <c r="A156" s="77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105"/>
    </row>
    <row r="157" spans="1:12" s="63" customFormat="1" x14ac:dyDescent="0.25">
      <c r="A157" s="77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105"/>
    </row>
    <row r="158" spans="1:12" s="63" customFormat="1" x14ac:dyDescent="0.25">
      <c r="A158" s="77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105"/>
    </row>
    <row r="159" spans="1:12" s="63" customFormat="1" x14ac:dyDescent="0.25">
      <c r="A159" s="77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105"/>
    </row>
    <row r="160" spans="1:12" s="63" customFormat="1" x14ac:dyDescent="0.25">
      <c r="A160" s="77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105"/>
    </row>
    <row r="161" spans="1:12" s="63" customFormat="1" x14ac:dyDescent="0.25">
      <c r="A161" s="77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105"/>
    </row>
    <row r="162" spans="1:12" s="63" customFormat="1" x14ac:dyDescent="0.25">
      <c r="A162" s="77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105"/>
    </row>
    <row r="163" spans="1:12" s="63" customFormat="1" x14ac:dyDescent="0.25">
      <c r="A163" s="77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105"/>
    </row>
    <row r="164" spans="1:12" s="63" customFormat="1" x14ac:dyDescent="0.25">
      <c r="A164" s="77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105"/>
    </row>
    <row r="165" spans="1:12" s="63" customFormat="1" x14ac:dyDescent="0.25">
      <c r="A165" s="77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105"/>
    </row>
    <row r="166" spans="1:12" s="63" customFormat="1" x14ac:dyDescent="0.25">
      <c r="A166" s="77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105"/>
    </row>
    <row r="167" spans="1:12" s="63" customFormat="1" x14ac:dyDescent="0.25">
      <c r="A167" s="77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105"/>
    </row>
    <row r="168" spans="1:12" s="63" customFormat="1" x14ac:dyDescent="0.25">
      <c r="A168" s="77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105"/>
    </row>
    <row r="169" spans="1:12" s="63" customFormat="1" x14ac:dyDescent="0.25">
      <c r="A169" s="77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105"/>
    </row>
    <row r="170" spans="1:12" s="63" customFormat="1" x14ac:dyDescent="0.25">
      <c r="A170" s="77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105"/>
    </row>
    <row r="171" spans="1:12" s="63" customFormat="1" x14ac:dyDescent="0.25">
      <c r="A171" s="77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105"/>
    </row>
    <row r="172" spans="1:12" s="63" customFormat="1" x14ac:dyDescent="0.25">
      <c r="A172" s="77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105"/>
    </row>
    <row r="173" spans="1:12" s="63" customFormat="1" x14ac:dyDescent="0.25">
      <c r="A173" s="77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105"/>
    </row>
    <row r="174" spans="1:12" s="63" customFormat="1" x14ac:dyDescent="0.25">
      <c r="A174" s="77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105"/>
    </row>
    <row r="175" spans="1:12" s="63" customFormat="1" x14ac:dyDescent="0.25">
      <c r="A175" s="77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105"/>
    </row>
    <row r="176" spans="1:12" s="63" customFormat="1" x14ac:dyDescent="0.25">
      <c r="A176" s="77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105"/>
    </row>
    <row r="177" spans="1:12" s="63" customFormat="1" x14ac:dyDescent="0.25">
      <c r="A177" s="77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105"/>
    </row>
    <row r="178" spans="1:12" s="63" customFormat="1" x14ac:dyDescent="0.25">
      <c r="A178" s="77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105"/>
    </row>
    <row r="179" spans="1:12" s="63" customFormat="1" x14ac:dyDescent="0.25">
      <c r="A179" s="77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105"/>
    </row>
    <row r="180" spans="1:12" s="63" customFormat="1" x14ac:dyDescent="0.25">
      <c r="A180" s="77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105"/>
    </row>
    <row r="181" spans="1:12" s="63" customFormat="1" x14ac:dyDescent="0.25">
      <c r="A181" s="77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105"/>
    </row>
    <row r="182" spans="1:12" s="63" customFormat="1" x14ac:dyDescent="0.25">
      <c r="A182" s="77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105"/>
    </row>
    <row r="183" spans="1:12" s="63" customFormat="1" x14ac:dyDescent="0.25">
      <c r="A183" s="77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105"/>
    </row>
    <row r="184" spans="1:12" s="63" customFormat="1" x14ac:dyDescent="0.25">
      <c r="A184" s="77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105"/>
    </row>
    <row r="185" spans="1:12" s="63" customFormat="1" x14ac:dyDescent="0.25">
      <c r="A185" s="77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105"/>
    </row>
    <row r="186" spans="1:12" s="63" customFormat="1" x14ac:dyDescent="0.25">
      <c r="A186" s="77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105"/>
    </row>
    <row r="187" spans="1:12" s="63" customFormat="1" x14ac:dyDescent="0.25">
      <c r="A187" s="77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105"/>
    </row>
    <row r="188" spans="1:12" s="63" customFormat="1" x14ac:dyDescent="0.25">
      <c r="A188" s="77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105"/>
    </row>
    <row r="189" spans="1:12" s="63" customFormat="1" x14ac:dyDescent="0.25">
      <c r="A189" s="77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105"/>
    </row>
    <row r="190" spans="1:12" s="63" customFormat="1" x14ac:dyDescent="0.25">
      <c r="A190" s="77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105"/>
    </row>
    <row r="191" spans="1:12" s="63" customFormat="1" x14ac:dyDescent="0.25">
      <c r="A191" s="77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105"/>
    </row>
    <row r="192" spans="1:12" s="63" customFormat="1" x14ac:dyDescent="0.25">
      <c r="A192" s="77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105"/>
    </row>
    <row r="193" spans="1:12" s="63" customFormat="1" x14ac:dyDescent="0.25">
      <c r="A193" s="77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105"/>
    </row>
    <row r="194" spans="1:12" s="63" customFormat="1" x14ac:dyDescent="0.25">
      <c r="A194" s="77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105"/>
    </row>
    <row r="195" spans="1:12" s="63" customFormat="1" x14ac:dyDescent="0.25">
      <c r="A195" s="77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105"/>
    </row>
    <row r="196" spans="1:12" s="63" customFormat="1" x14ac:dyDescent="0.25">
      <c r="A196" s="77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105"/>
    </row>
    <row r="197" spans="1:12" s="63" customFormat="1" x14ac:dyDescent="0.25">
      <c r="A197" s="77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105"/>
    </row>
    <row r="198" spans="1:12" s="63" customFormat="1" x14ac:dyDescent="0.25">
      <c r="A198" s="77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105"/>
    </row>
    <row r="199" spans="1:12" s="63" customFormat="1" x14ac:dyDescent="0.25">
      <c r="A199" s="77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105"/>
    </row>
    <row r="200" spans="1:12" s="63" customFormat="1" x14ac:dyDescent="0.25">
      <c r="A200" s="77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105"/>
    </row>
    <row r="201" spans="1:12" s="63" customFormat="1" x14ac:dyDescent="0.25">
      <c r="A201" s="77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105"/>
    </row>
    <row r="202" spans="1:12" s="63" customFormat="1" x14ac:dyDescent="0.25">
      <c r="A202" s="77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105"/>
    </row>
    <row r="203" spans="1:12" s="63" customFormat="1" x14ac:dyDescent="0.25">
      <c r="A203" s="77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105"/>
    </row>
    <row r="204" spans="1:12" s="63" customFormat="1" x14ac:dyDescent="0.25">
      <c r="A204" s="77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105"/>
    </row>
    <row r="205" spans="1:12" s="63" customFormat="1" x14ac:dyDescent="0.25">
      <c r="A205" s="77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105"/>
    </row>
    <row r="206" spans="1:12" s="63" customFormat="1" x14ac:dyDescent="0.25">
      <c r="A206" s="77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105"/>
    </row>
    <row r="207" spans="1:12" s="63" customFormat="1" x14ac:dyDescent="0.25">
      <c r="A207" s="77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105"/>
    </row>
    <row r="208" spans="1:12" s="63" customFormat="1" x14ac:dyDescent="0.25">
      <c r="A208" s="77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105"/>
    </row>
    <row r="209" spans="1:12" s="63" customFormat="1" x14ac:dyDescent="0.25">
      <c r="A209" s="77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105"/>
    </row>
    <row r="210" spans="1:12" s="63" customFormat="1" x14ac:dyDescent="0.25">
      <c r="A210" s="77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105"/>
    </row>
    <row r="211" spans="1:12" s="63" customFormat="1" x14ac:dyDescent="0.25">
      <c r="A211" s="77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105"/>
    </row>
    <row r="212" spans="1:12" s="63" customFormat="1" x14ac:dyDescent="0.25">
      <c r="A212" s="77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105"/>
    </row>
    <row r="213" spans="1:12" s="63" customFormat="1" x14ac:dyDescent="0.25">
      <c r="A213" s="77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105"/>
    </row>
    <row r="214" spans="1:12" s="63" customFormat="1" x14ac:dyDescent="0.25">
      <c r="A214" s="77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105"/>
    </row>
    <row r="215" spans="1:12" s="63" customFormat="1" x14ac:dyDescent="0.25">
      <c r="A215" s="77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105"/>
    </row>
    <row r="216" spans="1:12" s="63" customFormat="1" x14ac:dyDescent="0.25">
      <c r="A216" s="77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105"/>
    </row>
    <row r="217" spans="1:12" s="63" customFormat="1" x14ac:dyDescent="0.25">
      <c r="A217" s="77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105"/>
    </row>
    <row r="218" spans="1:12" s="63" customFormat="1" x14ac:dyDescent="0.25">
      <c r="A218" s="77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105"/>
    </row>
    <row r="219" spans="1:12" s="63" customFormat="1" x14ac:dyDescent="0.25">
      <c r="A219" s="77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105"/>
    </row>
    <row r="220" spans="1:12" s="63" customFormat="1" x14ac:dyDescent="0.25">
      <c r="A220" s="77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105"/>
    </row>
    <row r="221" spans="1:12" s="63" customFormat="1" x14ac:dyDescent="0.25">
      <c r="A221" s="77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105"/>
    </row>
  </sheetData>
  <mergeCells count="31">
    <mergeCell ref="B101:E101"/>
    <mergeCell ref="B103:E103"/>
    <mergeCell ref="D17:E17"/>
    <mergeCell ref="G17:H17"/>
    <mergeCell ref="G20:H20"/>
    <mergeCell ref="D64:E64"/>
    <mergeCell ref="B97:E97"/>
    <mergeCell ref="B99:E99"/>
    <mergeCell ref="D16:E16"/>
    <mergeCell ref="G8:H8"/>
    <mergeCell ref="C9:F9"/>
    <mergeCell ref="G9:H9"/>
    <mergeCell ref="D10:E10"/>
    <mergeCell ref="G10:H10"/>
    <mergeCell ref="D11:E11"/>
    <mergeCell ref="G11:H11"/>
    <mergeCell ref="D12:E12"/>
    <mergeCell ref="G12:H12"/>
    <mergeCell ref="D13:E13"/>
    <mergeCell ref="D14:E14"/>
    <mergeCell ref="D15:E15"/>
    <mergeCell ref="B2:I2"/>
    <mergeCell ref="B3:I3"/>
    <mergeCell ref="B4:I4"/>
    <mergeCell ref="B5:I5"/>
    <mergeCell ref="B6:B8"/>
    <mergeCell ref="C6:F6"/>
    <mergeCell ref="G6:H6"/>
    <mergeCell ref="C7:F7"/>
    <mergeCell ref="G7:H7"/>
    <mergeCell ref="C8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portrait" r:id="rId1"/>
  <rowBreaks count="1" manualBreakCount="1">
    <brk id="103" max="16383" man="1"/>
  </rowBreaks>
  <colBreaks count="1" manualBreakCount="1">
    <brk id="11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H5"/>
  <sheetViews>
    <sheetView workbookViewId="0"/>
  </sheetViews>
  <sheetFormatPr baseColWidth="10" defaultRowHeight="15" x14ac:dyDescent="0.25"/>
  <cols>
    <col min="2" max="2" width="32.5703125" bestFit="1" customWidth="1"/>
    <col min="5" max="5" width="15.85546875" bestFit="1" customWidth="1"/>
    <col min="6" max="6" width="14.42578125" bestFit="1" customWidth="1"/>
    <col min="8" max="8" width="17.140625" bestFit="1" customWidth="1"/>
  </cols>
  <sheetData>
    <row r="2" spans="2:8" ht="18" x14ac:dyDescent="0.25">
      <c r="B2" s="170" t="s">
        <v>0</v>
      </c>
      <c r="C2" s="170" t="s">
        <v>1</v>
      </c>
      <c r="D2" s="170" t="s">
        <v>2</v>
      </c>
      <c r="E2" s="171" t="s">
        <v>65</v>
      </c>
      <c r="F2" s="171" t="s">
        <v>64</v>
      </c>
      <c r="G2" s="171" t="s">
        <v>132</v>
      </c>
      <c r="H2" s="172" t="s">
        <v>3</v>
      </c>
    </row>
    <row r="3" spans="2:8" ht="5.25" customHeight="1" x14ac:dyDescent="0.25">
      <c r="B3" s="163"/>
      <c r="C3" s="163"/>
      <c r="D3" s="163"/>
      <c r="E3" s="163"/>
      <c r="F3" s="163"/>
      <c r="G3" s="163"/>
      <c r="H3" s="164"/>
    </row>
    <row r="4" spans="2:8" x14ac:dyDescent="0.25">
      <c r="B4" s="160" t="s">
        <v>127</v>
      </c>
      <c r="C4" s="84"/>
      <c r="D4" s="84"/>
      <c r="E4" s="38"/>
      <c r="F4" s="38"/>
      <c r="G4" s="38"/>
      <c r="H4" s="165"/>
    </row>
    <row r="5" spans="2:8" x14ac:dyDescent="0.25">
      <c r="B5" s="147" t="s">
        <v>84</v>
      </c>
      <c r="C5" s="85">
        <v>1</v>
      </c>
      <c r="D5" s="166">
        <v>0.5</v>
      </c>
      <c r="E5" s="167">
        <v>4250000</v>
      </c>
      <c r="F5" s="96">
        <v>1.54</v>
      </c>
      <c r="G5" s="168">
        <v>6</v>
      </c>
      <c r="H5" s="169">
        <f>+C5*D5*E5*F5*G5</f>
        <v>19635000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5:L75"/>
  <sheetViews>
    <sheetView view="pageBreakPreview" topLeftCell="A23" zoomScale="70" zoomScaleNormal="85" zoomScaleSheetLayoutView="70" workbookViewId="0">
      <pane ySplit="6105" topLeftCell="A91"/>
      <selection activeCell="H58" sqref="H58"/>
      <selection pane="bottomLeft" activeCell="H58" sqref="H58"/>
    </sheetView>
  </sheetViews>
  <sheetFormatPr baseColWidth="10" defaultColWidth="11.42578125" defaultRowHeight="15" x14ac:dyDescent="0.25"/>
  <cols>
    <col min="1" max="1" width="4" style="173" customWidth="1"/>
    <col min="2" max="2" width="37.5703125" style="173" customWidth="1"/>
    <col min="3" max="3" width="60.5703125" style="234" customWidth="1"/>
    <col min="4" max="4" width="17.5703125" style="173" bestFit="1" customWidth="1"/>
    <col min="5" max="5" width="13.42578125" style="173" bestFit="1" customWidth="1"/>
    <col min="6" max="6" width="20" style="173" bestFit="1" customWidth="1"/>
    <col min="7" max="7" width="24.85546875" style="175" customWidth="1"/>
    <col min="8" max="8" width="24" style="175" customWidth="1"/>
    <col min="9" max="9" width="25.5703125" style="175" customWidth="1"/>
    <col min="10" max="10" width="31.42578125" style="175" customWidth="1"/>
    <col min="11" max="11" width="11.42578125" style="174"/>
    <col min="12" max="12" width="15.5703125" style="173" bestFit="1" customWidth="1"/>
    <col min="13" max="16384" width="11.42578125" style="173"/>
  </cols>
  <sheetData>
    <row r="5" spans="2:10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  <c r="J5" s="317"/>
    </row>
    <row r="7" spans="2:10" ht="33" customHeight="1" x14ac:dyDescent="0.25">
      <c r="B7" s="231" t="s">
        <v>235</v>
      </c>
    </row>
    <row r="10" spans="2:10" ht="72" customHeight="1" x14ac:dyDescent="0.25">
      <c r="B10" s="221" t="s">
        <v>142</v>
      </c>
      <c r="C10" s="236" t="s">
        <v>144</v>
      </c>
      <c r="D10" s="176" t="s">
        <v>143</v>
      </c>
      <c r="E10" s="176" t="s">
        <v>1</v>
      </c>
      <c r="F10" s="176" t="s">
        <v>233</v>
      </c>
      <c r="G10" s="199" t="s">
        <v>191</v>
      </c>
      <c r="H10" s="179" t="s">
        <v>146</v>
      </c>
      <c r="I10" s="179" t="s">
        <v>229</v>
      </c>
      <c r="J10" s="180" t="s">
        <v>145</v>
      </c>
    </row>
    <row r="11" spans="2:10" ht="50.25" customHeight="1" x14ac:dyDescent="0.25">
      <c r="B11" s="318" t="s">
        <v>138</v>
      </c>
      <c r="C11" s="244" t="s">
        <v>200</v>
      </c>
      <c r="D11" s="182" t="s">
        <v>165</v>
      </c>
      <c r="E11" s="182">
        <v>1</v>
      </c>
      <c r="F11" s="219">
        <v>0.2</v>
      </c>
      <c r="G11" s="196">
        <f>VLOOKUP(D11,Hoja2!B:D,3,0)</f>
        <v>5862000</v>
      </c>
      <c r="H11" s="245">
        <v>2.19</v>
      </c>
      <c r="I11" s="245">
        <v>7</v>
      </c>
      <c r="J11" s="186">
        <f>+I11*H11*G11*F11*E11</f>
        <v>17972892</v>
      </c>
    </row>
    <row r="12" spans="2:10" ht="36.75" hidden="1" customHeight="1" x14ac:dyDescent="0.25">
      <c r="B12" s="318"/>
      <c r="C12" s="244" t="s">
        <v>200</v>
      </c>
      <c r="D12" s="182" t="s">
        <v>165</v>
      </c>
      <c r="E12" s="182">
        <v>0</v>
      </c>
      <c r="F12" s="219"/>
      <c r="G12" s="196">
        <f>VLOOKUP(D12,Hoja2!B:D,3,0)</f>
        <v>5862000</v>
      </c>
      <c r="H12" s="245">
        <f>+$H$11</f>
        <v>2.19</v>
      </c>
      <c r="I12" s="245">
        <v>0</v>
      </c>
      <c r="J12" s="186">
        <f t="shared" ref="J12:J42" si="0">+I12*H12*G12*F12*E12</f>
        <v>0</v>
      </c>
    </row>
    <row r="13" spans="2:10" ht="41.25" hidden="1" customHeight="1" x14ac:dyDescent="0.25">
      <c r="B13" s="318"/>
      <c r="C13" s="244" t="s">
        <v>200</v>
      </c>
      <c r="D13" s="182" t="s">
        <v>166</v>
      </c>
      <c r="E13" s="182">
        <v>0</v>
      </c>
      <c r="F13" s="219"/>
      <c r="G13" s="196">
        <f>VLOOKUP(D13,Hoja2!B:D,3,0)</f>
        <v>4992000</v>
      </c>
      <c r="H13" s="245">
        <f t="shared" ref="H13:H42" si="1">+$H$11</f>
        <v>2.19</v>
      </c>
      <c r="I13" s="245">
        <v>0</v>
      </c>
      <c r="J13" s="186">
        <f t="shared" si="0"/>
        <v>0</v>
      </c>
    </row>
    <row r="14" spans="2:10" ht="62.25" hidden="1" customHeight="1" x14ac:dyDescent="0.25">
      <c r="B14" s="318" t="s">
        <v>68</v>
      </c>
      <c r="C14" s="244" t="s">
        <v>201</v>
      </c>
      <c r="D14" s="182" t="s">
        <v>164</v>
      </c>
      <c r="E14" s="182">
        <v>0</v>
      </c>
      <c r="F14" s="219"/>
      <c r="G14" s="196">
        <f>VLOOKUP(D14,Hoja2!B:D,3,0)</f>
        <v>6946000</v>
      </c>
      <c r="H14" s="245">
        <f t="shared" si="1"/>
        <v>2.19</v>
      </c>
      <c r="I14" s="245">
        <v>0</v>
      </c>
      <c r="J14" s="186">
        <f t="shared" si="0"/>
        <v>0</v>
      </c>
    </row>
    <row r="15" spans="2:10" ht="41.25" hidden="1" customHeight="1" x14ac:dyDescent="0.25">
      <c r="B15" s="318"/>
      <c r="C15" s="244" t="s">
        <v>202</v>
      </c>
      <c r="D15" s="182" t="s">
        <v>165</v>
      </c>
      <c r="E15" s="182">
        <v>0</v>
      </c>
      <c r="F15" s="219"/>
      <c r="G15" s="196">
        <f>VLOOKUP(D15,Hoja2!B:D,3,0)</f>
        <v>5862000</v>
      </c>
      <c r="H15" s="245">
        <f t="shared" si="1"/>
        <v>2.19</v>
      </c>
      <c r="I15" s="245">
        <v>0</v>
      </c>
      <c r="J15" s="186">
        <f t="shared" si="0"/>
        <v>0</v>
      </c>
    </row>
    <row r="16" spans="2:10" ht="41.25" customHeight="1" x14ac:dyDescent="0.25">
      <c r="B16" s="318"/>
      <c r="C16" s="244" t="s">
        <v>203</v>
      </c>
      <c r="D16" s="182" t="s">
        <v>167</v>
      </c>
      <c r="E16" s="182">
        <v>1</v>
      </c>
      <c r="F16" s="219">
        <v>0.05</v>
      </c>
      <c r="G16" s="196">
        <f>VLOOKUP(D16,Hoja2!B:D,3,0)</f>
        <v>4501000</v>
      </c>
      <c r="H16" s="245">
        <f t="shared" si="1"/>
        <v>2.19</v>
      </c>
      <c r="I16" s="245">
        <v>6</v>
      </c>
      <c r="J16" s="186">
        <f t="shared" si="0"/>
        <v>2957157</v>
      </c>
    </row>
    <row r="17" spans="2:10" ht="41.25" customHeight="1" x14ac:dyDescent="0.25">
      <c r="B17" s="318"/>
      <c r="C17" s="244" t="s">
        <v>204</v>
      </c>
      <c r="D17" s="182" t="s">
        <v>167</v>
      </c>
      <c r="E17" s="182">
        <v>1</v>
      </c>
      <c r="F17" s="219">
        <v>0.05</v>
      </c>
      <c r="G17" s="196">
        <f>VLOOKUP(D17,Hoja2!B:D,3,0)</f>
        <v>4501000</v>
      </c>
      <c r="H17" s="245">
        <f t="shared" si="1"/>
        <v>2.19</v>
      </c>
      <c r="I17" s="245">
        <v>6</v>
      </c>
      <c r="J17" s="186">
        <f t="shared" si="0"/>
        <v>2957157</v>
      </c>
    </row>
    <row r="18" spans="2:10" ht="46.5" customHeight="1" x14ac:dyDescent="0.25">
      <c r="B18" s="318"/>
      <c r="C18" s="244" t="s">
        <v>205</v>
      </c>
      <c r="D18" s="182" t="s">
        <v>167</v>
      </c>
      <c r="E18" s="182">
        <v>1</v>
      </c>
      <c r="F18" s="219">
        <v>0.05</v>
      </c>
      <c r="G18" s="196">
        <f>VLOOKUP(D18,Hoja2!B:D,3,0)</f>
        <v>4501000</v>
      </c>
      <c r="H18" s="245">
        <f t="shared" si="1"/>
        <v>2.19</v>
      </c>
      <c r="I18" s="245">
        <v>6</v>
      </c>
      <c r="J18" s="186">
        <f t="shared" si="0"/>
        <v>2957157</v>
      </c>
    </row>
    <row r="19" spans="2:10" ht="41.25" customHeight="1" x14ac:dyDescent="0.25">
      <c r="B19" s="318"/>
      <c r="C19" s="244" t="s">
        <v>206</v>
      </c>
      <c r="D19" s="182" t="s">
        <v>167</v>
      </c>
      <c r="E19" s="182">
        <v>1</v>
      </c>
      <c r="F19" s="219">
        <v>0.05</v>
      </c>
      <c r="G19" s="196">
        <f>VLOOKUP(D19,Hoja2!B:D,3,0)</f>
        <v>4501000</v>
      </c>
      <c r="H19" s="245">
        <f t="shared" si="1"/>
        <v>2.19</v>
      </c>
      <c r="I19" s="245">
        <v>6</v>
      </c>
      <c r="J19" s="186">
        <f t="shared" si="0"/>
        <v>2957157</v>
      </c>
    </row>
    <row r="20" spans="2:10" ht="41.25" customHeight="1" x14ac:dyDescent="0.25">
      <c r="B20" s="318"/>
      <c r="C20" s="244" t="s">
        <v>207</v>
      </c>
      <c r="D20" s="182" t="s">
        <v>167</v>
      </c>
      <c r="E20" s="182">
        <v>1</v>
      </c>
      <c r="F20" s="219">
        <v>0.05</v>
      </c>
      <c r="G20" s="196">
        <f>VLOOKUP(D20,Hoja2!B:D,3,0)</f>
        <v>4501000</v>
      </c>
      <c r="H20" s="245">
        <f t="shared" si="1"/>
        <v>2.19</v>
      </c>
      <c r="I20" s="245">
        <v>6</v>
      </c>
      <c r="J20" s="186">
        <f t="shared" si="0"/>
        <v>2957157</v>
      </c>
    </row>
    <row r="21" spans="2:10" ht="41.25" hidden="1" customHeight="1" x14ac:dyDescent="0.25">
      <c r="B21" s="318"/>
      <c r="C21" s="237" t="s">
        <v>217</v>
      </c>
      <c r="D21" s="182" t="s">
        <v>167</v>
      </c>
      <c r="E21" s="182">
        <v>0</v>
      </c>
      <c r="F21" s="219"/>
      <c r="G21" s="196">
        <f>VLOOKUP(D21,Hoja2!B:D,3,0)</f>
        <v>4501000</v>
      </c>
      <c r="H21" s="245">
        <f t="shared" si="1"/>
        <v>2.19</v>
      </c>
      <c r="I21" s="245">
        <v>0</v>
      </c>
      <c r="J21" s="186">
        <f t="shared" si="0"/>
        <v>0</v>
      </c>
    </row>
    <row r="22" spans="2:10" ht="41.25" hidden="1" customHeight="1" x14ac:dyDescent="0.25">
      <c r="B22" s="318"/>
      <c r="C22" s="237" t="s">
        <v>218</v>
      </c>
      <c r="D22" s="182" t="s">
        <v>166</v>
      </c>
      <c r="E22" s="182">
        <v>0</v>
      </c>
      <c r="F22" s="219"/>
      <c r="G22" s="196">
        <f>VLOOKUP(D22,Hoja2!B:D,3,0)</f>
        <v>4992000</v>
      </c>
      <c r="H22" s="245">
        <f t="shared" si="1"/>
        <v>2.19</v>
      </c>
      <c r="I22" s="245">
        <v>0</v>
      </c>
      <c r="J22" s="186">
        <f t="shared" si="0"/>
        <v>0</v>
      </c>
    </row>
    <row r="23" spans="2:10" ht="41.25" customHeight="1" x14ac:dyDescent="0.25">
      <c r="B23" s="318"/>
      <c r="C23" s="237" t="s">
        <v>219</v>
      </c>
      <c r="D23" s="182" t="s">
        <v>165</v>
      </c>
      <c r="E23" s="182">
        <v>1</v>
      </c>
      <c r="F23" s="219">
        <v>0.05</v>
      </c>
      <c r="G23" s="196">
        <f>VLOOKUP(D23,Hoja2!B:D,3,0)</f>
        <v>5862000</v>
      </c>
      <c r="H23" s="245">
        <f t="shared" si="1"/>
        <v>2.19</v>
      </c>
      <c r="I23" s="245">
        <v>6</v>
      </c>
      <c r="J23" s="186">
        <f t="shared" si="0"/>
        <v>3851334</v>
      </c>
    </row>
    <row r="24" spans="2:10" ht="41.25" hidden="1" customHeight="1" x14ac:dyDescent="0.25">
      <c r="B24" s="318"/>
      <c r="C24" s="237" t="s">
        <v>220</v>
      </c>
      <c r="D24" s="182" t="s">
        <v>165</v>
      </c>
      <c r="E24" s="182">
        <v>0</v>
      </c>
      <c r="F24" s="219"/>
      <c r="G24" s="196">
        <f>VLOOKUP(D24,Hoja2!B:D,3,0)</f>
        <v>5862000</v>
      </c>
      <c r="H24" s="245">
        <f t="shared" si="1"/>
        <v>2.19</v>
      </c>
      <c r="I24" s="245">
        <v>0</v>
      </c>
      <c r="J24" s="186">
        <f t="shared" si="0"/>
        <v>0</v>
      </c>
    </row>
    <row r="25" spans="2:10" ht="41.25" customHeight="1" x14ac:dyDescent="0.25">
      <c r="B25" s="318"/>
      <c r="C25" s="237" t="s">
        <v>228</v>
      </c>
      <c r="D25" s="182" t="s">
        <v>167</v>
      </c>
      <c r="E25" s="182">
        <v>1</v>
      </c>
      <c r="F25" s="219">
        <v>0.05</v>
      </c>
      <c r="G25" s="196">
        <f>VLOOKUP(D25,Hoja2!B:D,3,0)</f>
        <v>4501000</v>
      </c>
      <c r="H25" s="245">
        <f t="shared" si="1"/>
        <v>2.19</v>
      </c>
      <c r="I25" s="245">
        <v>6</v>
      </c>
      <c r="J25" s="186">
        <f t="shared" si="0"/>
        <v>2957157</v>
      </c>
    </row>
    <row r="26" spans="2:10" ht="41.25" customHeight="1" x14ac:dyDescent="0.25">
      <c r="B26" s="318"/>
      <c r="C26" s="237" t="s">
        <v>221</v>
      </c>
      <c r="D26" s="182" t="s">
        <v>166</v>
      </c>
      <c r="E26" s="182">
        <v>1</v>
      </c>
      <c r="F26" s="219">
        <v>1</v>
      </c>
      <c r="G26" s="196">
        <f>VLOOKUP(D26,Hoja2!B:D,3,0)</f>
        <v>4992000</v>
      </c>
      <c r="H26" s="245">
        <f t="shared" si="1"/>
        <v>2.19</v>
      </c>
      <c r="I26" s="245">
        <v>7</v>
      </c>
      <c r="J26" s="186">
        <f t="shared" si="0"/>
        <v>76527360</v>
      </c>
    </row>
    <row r="27" spans="2:10" ht="41.25" customHeight="1" x14ac:dyDescent="0.25">
      <c r="B27" s="318"/>
      <c r="C27" s="237" t="s">
        <v>222</v>
      </c>
      <c r="D27" s="182" t="s">
        <v>165</v>
      </c>
      <c r="E27" s="182">
        <v>1</v>
      </c>
      <c r="F27" s="219">
        <v>0.5</v>
      </c>
      <c r="G27" s="196">
        <f>VLOOKUP(D27,Hoja2!B:D,3,0)</f>
        <v>5862000</v>
      </c>
      <c r="H27" s="245">
        <f t="shared" si="1"/>
        <v>2.19</v>
      </c>
      <c r="I27" s="245">
        <v>6</v>
      </c>
      <c r="J27" s="186">
        <f t="shared" si="0"/>
        <v>38513340</v>
      </c>
    </row>
    <row r="28" spans="2:10" ht="41.25" hidden="1" customHeight="1" x14ac:dyDescent="0.25">
      <c r="B28" s="318"/>
      <c r="C28" s="237" t="s">
        <v>223</v>
      </c>
      <c r="D28" s="182" t="s">
        <v>167</v>
      </c>
      <c r="E28" s="182">
        <v>0</v>
      </c>
      <c r="F28" s="219">
        <v>0</v>
      </c>
      <c r="G28" s="196">
        <f>VLOOKUP(D28,Hoja2!B:D,3,0)</f>
        <v>4501000</v>
      </c>
      <c r="H28" s="245">
        <f t="shared" si="1"/>
        <v>2.19</v>
      </c>
      <c r="I28" s="245">
        <v>0</v>
      </c>
      <c r="J28" s="186">
        <f t="shared" si="0"/>
        <v>0</v>
      </c>
    </row>
    <row r="29" spans="2:10" ht="41.25" hidden="1" customHeight="1" x14ac:dyDescent="0.25">
      <c r="B29" s="318"/>
      <c r="C29" s="237" t="s">
        <v>224</v>
      </c>
      <c r="D29" s="182" t="s">
        <v>165</v>
      </c>
      <c r="E29" s="182">
        <v>0</v>
      </c>
      <c r="F29" s="219">
        <v>0</v>
      </c>
      <c r="G29" s="196">
        <f>VLOOKUP(D29,Hoja2!B:D,3,0)</f>
        <v>5862000</v>
      </c>
      <c r="H29" s="245">
        <f t="shared" si="1"/>
        <v>2.19</v>
      </c>
      <c r="I29" s="245">
        <v>0</v>
      </c>
      <c r="J29" s="186">
        <f t="shared" si="0"/>
        <v>0</v>
      </c>
    </row>
    <row r="30" spans="2:10" ht="41.25" hidden="1" customHeight="1" x14ac:dyDescent="0.25">
      <c r="B30" s="318"/>
      <c r="C30" s="237" t="s">
        <v>225</v>
      </c>
      <c r="D30" s="182" t="s">
        <v>165</v>
      </c>
      <c r="E30" s="182">
        <v>0</v>
      </c>
      <c r="F30" s="219">
        <v>0</v>
      </c>
      <c r="G30" s="196">
        <f>VLOOKUP(D30,Hoja2!B:D,3,0)</f>
        <v>5862000</v>
      </c>
      <c r="H30" s="245">
        <f t="shared" si="1"/>
        <v>2.19</v>
      </c>
      <c r="I30" s="245">
        <v>0</v>
      </c>
      <c r="J30" s="186">
        <f t="shared" si="0"/>
        <v>0</v>
      </c>
    </row>
    <row r="31" spans="2:10" ht="41.25" customHeight="1" x14ac:dyDescent="0.25">
      <c r="B31" s="318"/>
      <c r="C31" s="237" t="s">
        <v>230</v>
      </c>
      <c r="D31" s="182" t="s">
        <v>137</v>
      </c>
      <c r="E31" s="182">
        <v>1</v>
      </c>
      <c r="F31" s="219">
        <v>1</v>
      </c>
      <c r="G31" s="196">
        <f>VLOOKUP(D31,Hoja2!B:D,3,0)</f>
        <v>2864000</v>
      </c>
      <c r="H31" s="245">
        <f t="shared" si="1"/>
        <v>2.19</v>
      </c>
      <c r="I31" s="245">
        <v>6</v>
      </c>
      <c r="J31" s="186">
        <f t="shared" si="0"/>
        <v>37632960</v>
      </c>
    </row>
    <row r="32" spans="2:10" ht="41.25" hidden="1" customHeight="1" x14ac:dyDescent="0.25">
      <c r="B32" s="318"/>
      <c r="C32" s="237" t="s">
        <v>226</v>
      </c>
      <c r="D32" s="182" t="s">
        <v>168</v>
      </c>
      <c r="E32" s="182">
        <v>0</v>
      </c>
      <c r="F32" s="219">
        <v>0</v>
      </c>
      <c r="G32" s="196">
        <f>VLOOKUP(D32,Hoja2!B:D,3,0)</f>
        <v>4014000</v>
      </c>
      <c r="H32" s="245">
        <f t="shared" si="1"/>
        <v>2.19</v>
      </c>
      <c r="I32" s="245">
        <v>0</v>
      </c>
      <c r="J32" s="186">
        <f t="shared" si="0"/>
        <v>0</v>
      </c>
    </row>
    <row r="33" spans="1:12" ht="41.25" customHeight="1" x14ac:dyDescent="0.25">
      <c r="B33" s="318"/>
      <c r="C33" s="237" t="s">
        <v>227</v>
      </c>
      <c r="D33" s="182" t="s">
        <v>167</v>
      </c>
      <c r="E33" s="182">
        <v>1</v>
      </c>
      <c r="F33" s="219">
        <v>0.1</v>
      </c>
      <c r="G33" s="196">
        <f>VLOOKUP(D33,Hoja2!B:D,3,0)</f>
        <v>4501000</v>
      </c>
      <c r="H33" s="245">
        <f t="shared" si="1"/>
        <v>2.19</v>
      </c>
      <c r="I33" s="245">
        <v>6</v>
      </c>
      <c r="J33" s="186">
        <f t="shared" si="0"/>
        <v>5914314</v>
      </c>
    </row>
    <row r="34" spans="1:12" ht="41.1" hidden="1" customHeight="1" x14ac:dyDescent="0.25">
      <c r="B34" s="319" t="s">
        <v>140</v>
      </c>
      <c r="C34" s="244" t="s">
        <v>136</v>
      </c>
      <c r="D34" s="182" t="s">
        <v>170</v>
      </c>
      <c r="E34" s="182">
        <v>1</v>
      </c>
      <c r="F34" s="219">
        <v>0</v>
      </c>
      <c r="G34" s="198">
        <f>VLOOKUP(D34,Hoja2!B:D,3,0)</f>
        <v>2165000</v>
      </c>
      <c r="H34" s="245">
        <f t="shared" si="1"/>
        <v>2.19</v>
      </c>
      <c r="I34" s="245">
        <v>0</v>
      </c>
      <c r="J34" s="186">
        <f t="shared" si="0"/>
        <v>0</v>
      </c>
    </row>
    <row r="35" spans="1:12" ht="41.1" hidden="1" customHeight="1" x14ac:dyDescent="0.25">
      <c r="B35" s="320"/>
      <c r="C35" s="244" t="s">
        <v>72</v>
      </c>
      <c r="D35" s="182" t="s">
        <v>171</v>
      </c>
      <c r="E35" s="182">
        <v>0</v>
      </c>
      <c r="F35" s="219">
        <v>1</v>
      </c>
      <c r="G35" s="198">
        <f>VLOOKUP(D35,Hoja2!B:D,3,0)</f>
        <v>2078000</v>
      </c>
      <c r="H35" s="245">
        <f t="shared" si="1"/>
        <v>2.19</v>
      </c>
      <c r="I35" s="245">
        <v>0</v>
      </c>
      <c r="J35" s="186">
        <f t="shared" si="0"/>
        <v>0</v>
      </c>
    </row>
    <row r="36" spans="1:12" ht="41.1" hidden="1" customHeight="1" x14ac:dyDescent="0.25">
      <c r="B36" s="320"/>
      <c r="C36" s="244" t="s">
        <v>135</v>
      </c>
      <c r="D36" s="182" t="s">
        <v>172</v>
      </c>
      <c r="E36" s="182">
        <v>1</v>
      </c>
      <c r="F36" s="219">
        <v>0.05</v>
      </c>
      <c r="G36" s="198">
        <f>VLOOKUP(D36,Hoja2!B:D,3,0)</f>
        <v>1916000</v>
      </c>
      <c r="H36" s="245">
        <f t="shared" si="1"/>
        <v>2.19</v>
      </c>
      <c r="I36" s="245">
        <v>0</v>
      </c>
      <c r="J36" s="186">
        <f t="shared" si="0"/>
        <v>0</v>
      </c>
    </row>
    <row r="37" spans="1:12" ht="41.1" hidden="1" customHeight="1" x14ac:dyDescent="0.25">
      <c r="B37" s="320"/>
      <c r="C37" s="244" t="s">
        <v>73</v>
      </c>
      <c r="D37" s="182" t="s">
        <v>173</v>
      </c>
      <c r="E37" s="182">
        <v>1</v>
      </c>
      <c r="F37" s="219">
        <v>0.05</v>
      </c>
      <c r="G37" s="198">
        <f>VLOOKUP(D37,Hoja2!B:D,3,0)</f>
        <v>1827000</v>
      </c>
      <c r="H37" s="245">
        <f t="shared" si="1"/>
        <v>2.19</v>
      </c>
      <c r="I37" s="245">
        <v>0</v>
      </c>
      <c r="J37" s="186">
        <f t="shared" si="0"/>
        <v>0</v>
      </c>
    </row>
    <row r="38" spans="1:12" ht="41.1" hidden="1" customHeight="1" x14ac:dyDescent="0.25">
      <c r="B38" s="320"/>
      <c r="C38" s="244" t="s">
        <v>75</v>
      </c>
      <c r="D38" s="182" t="s">
        <v>174</v>
      </c>
      <c r="E38" s="182">
        <v>0</v>
      </c>
      <c r="F38" s="219"/>
      <c r="G38" s="198">
        <f>VLOOKUP(D38,Hoja2!B:D,3,0)</f>
        <v>1777000</v>
      </c>
      <c r="H38" s="245">
        <f t="shared" si="1"/>
        <v>2.19</v>
      </c>
      <c r="I38" s="245">
        <v>0</v>
      </c>
      <c r="J38" s="186">
        <f t="shared" si="0"/>
        <v>0</v>
      </c>
    </row>
    <row r="39" spans="1:12" ht="41.1" hidden="1" customHeight="1" x14ac:dyDescent="0.25">
      <c r="B39" s="320"/>
      <c r="C39" s="244" t="s">
        <v>134</v>
      </c>
      <c r="D39" s="182" t="s">
        <v>175</v>
      </c>
      <c r="E39" s="182">
        <v>0</v>
      </c>
      <c r="F39" s="219"/>
      <c r="G39" s="198">
        <f>VLOOKUP(D39,Hoja2!B:D,3,0)</f>
        <v>1576000</v>
      </c>
      <c r="H39" s="245">
        <f t="shared" si="1"/>
        <v>2.19</v>
      </c>
      <c r="I39" s="245">
        <v>0</v>
      </c>
      <c r="J39" s="186">
        <f t="shared" si="0"/>
        <v>0</v>
      </c>
    </row>
    <row r="40" spans="1:12" ht="41.1" customHeight="1" x14ac:dyDescent="0.25">
      <c r="B40" s="320"/>
      <c r="C40" s="244" t="s">
        <v>74</v>
      </c>
      <c r="D40" s="182" t="s">
        <v>176</v>
      </c>
      <c r="E40" s="182">
        <v>1</v>
      </c>
      <c r="F40" s="219">
        <v>1</v>
      </c>
      <c r="G40" s="198">
        <f>VLOOKUP(D40,Hoja2!B:D,3,0)</f>
        <v>1548000</v>
      </c>
      <c r="H40" s="245">
        <f t="shared" si="1"/>
        <v>2.19</v>
      </c>
      <c r="I40" s="245">
        <v>6</v>
      </c>
      <c r="J40" s="186">
        <f t="shared" si="0"/>
        <v>20340720</v>
      </c>
    </row>
    <row r="41" spans="1:12" ht="41.1" hidden="1" customHeight="1" x14ac:dyDescent="0.25">
      <c r="B41" s="320"/>
      <c r="C41" s="244" t="s">
        <v>77</v>
      </c>
      <c r="D41" s="182" t="s">
        <v>176</v>
      </c>
      <c r="E41" s="182">
        <v>0</v>
      </c>
      <c r="F41" s="219"/>
      <c r="G41" s="198">
        <f>VLOOKUP(D41,Hoja2!B:D,3,0)</f>
        <v>1548000</v>
      </c>
      <c r="H41" s="245">
        <f t="shared" si="1"/>
        <v>2.19</v>
      </c>
      <c r="I41" s="245">
        <v>0</v>
      </c>
      <c r="J41" s="186">
        <f t="shared" si="0"/>
        <v>0</v>
      </c>
    </row>
    <row r="42" spans="1:12" ht="41.1" customHeight="1" x14ac:dyDescent="0.25">
      <c r="B42" s="321"/>
      <c r="C42" s="244" t="s">
        <v>179</v>
      </c>
      <c r="D42" s="182" t="s">
        <v>178</v>
      </c>
      <c r="E42" s="182">
        <v>1</v>
      </c>
      <c r="F42" s="219">
        <v>0.1</v>
      </c>
      <c r="G42" s="198">
        <f>VLOOKUP(D42,Hoja2!B:D,3,0)</f>
        <v>1343000</v>
      </c>
      <c r="H42" s="245">
        <f t="shared" si="1"/>
        <v>2.19</v>
      </c>
      <c r="I42" s="245">
        <v>7</v>
      </c>
      <c r="J42" s="186">
        <f t="shared" si="0"/>
        <v>2058819</v>
      </c>
    </row>
    <row r="43" spans="1:12" ht="12.75" customHeight="1" x14ac:dyDescent="0.25">
      <c r="B43" s="207"/>
      <c r="D43" s="205"/>
      <c r="E43" s="205"/>
      <c r="F43" s="205"/>
      <c r="G43" s="208"/>
      <c r="H43" s="209"/>
      <c r="I43" s="209"/>
      <c r="J43" s="210"/>
    </row>
    <row r="44" spans="1:12" ht="33.75" customHeight="1" x14ac:dyDescent="0.25">
      <c r="B44" s="223" t="s">
        <v>210</v>
      </c>
      <c r="C44" s="238"/>
      <c r="D44" s="223"/>
      <c r="E44" s="223"/>
      <c r="F44" s="223"/>
      <c r="G44" s="224"/>
      <c r="H44" s="224"/>
      <c r="I44" s="224"/>
      <c r="J44" s="224">
        <f>SUM(J11:J43)</f>
        <v>220554681</v>
      </c>
    </row>
    <row r="45" spans="1:12" ht="9" customHeight="1" x14ac:dyDescent="0.25"/>
    <row r="46" spans="1:12" ht="44.25" customHeight="1" x14ac:dyDescent="0.25">
      <c r="B46" s="319" t="s">
        <v>163</v>
      </c>
      <c r="C46" s="239" t="s">
        <v>157</v>
      </c>
      <c r="D46" s="194" t="s">
        <v>156</v>
      </c>
      <c r="E46" s="176" t="s">
        <v>1</v>
      </c>
      <c r="F46" s="176" t="s">
        <v>208</v>
      </c>
      <c r="G46" s="194" t="s">
        <v>192</v>
      </c>
      <c r="H46" s="194" t="s">
        <v>193</v>
      </c>
      <c r="I46" s="194" t="s">
        <v>216</v>
      </c>
      <c r="J46" s="180" t="s">
        <v>145</v>
      </c>
    </row>
    <row r="47" spans="1:12" s="174" customFormat="1" ht="35.25" hidden="1" customHeight="1" x14ac:dyDescent="0.25">
      <c r="A47" s="173"/>
      <c r="B47" s="320"/>
      <c r="C47" s="240" t="s">
        <v>147</v>
      </c>
      <c r="D47" s="182" t="s">
        <v>148</v>
      </c>
      <c r="E47" s="182">
        <v>1</v>
      </c>
      <c r="F47" s="219">
        <v>0</v>
      </c>
      <c r="G47" s="246">
        <f>VLOOKUP(D47,Hoja2!B:D,2,0)</f>
        <v>94900</v>
      </c>
      <c r="H47" s="196">
        <f>VLOOKUP(D47,Hoja2!B:D,3,0)</f>
        <v>2876000</v>
      </c>
      <c r="I47" s="185">
        <v>6</v>
      </c>
      <c r="J47" s="220">
        <f>+I47*H47*F47*E47</f>
        <v>0</v>
      </c>
      <c r="L47" s="173"/>
    </row>
    <row r="48" spans="1:12" s="174" customFormat="1" ht="42.75" hidden="1" customHeight="1" x14ac:dyDescent="0.25">
      <c r="A48" s="173"/>
      <c r="B48" s="320"/>
      <c r="C48" s="240" t="s">
        <v>150</v>
      </c>
      <c r="D48" s="182" t="s">
        <v>151</v>
      </c>
      <c r="E48" s="182">
        <v>0</v>
      </c>
      <c r="F48" s="219">
        <v>0</v>
      </c>
      <c r="G48" s="246">
        <f>VLOOKUP(D48,Hoja2!B:D,2,0)</f>
        <v>148533</v>
      </c>
      <c r="H48" s="196">
        <f>VLOOKUP(D48,Hoja2!B:D,3,0)</f>
        <v>4485000</v>
      </c>
      <c r="I48" s="185">
        <v>6</v>
      </c>
      <c r="J48" s="220">
        <f t="shared" ref="J48:J53" si="2">+I48*H48*F48*E48</f>
        <v>0</v>
      </c>
      <c r="L48" s="173"/>
    </row>
    <row r="49" spans="1:12" s="174" customFormat="1" ht="35.25" customHeight="1" x14ac:dyDescent="0.25">
      <c r="A49" s="173"/>
      <c r="B49" s="320"/>
      <c r="C49" s="240" t="s">
        <v>66</v>
      </c>
      <c r="D49" s="182" t="s">
        <v>151</v>
      </c>
      <c r="E49" s="182">
        <v>1</v>
      </c>
      <c r="F49" s="219">
        <v>0.01</v>
      </c>
      <c r="G49" s="246">
        <f>VLOOKUP(D49,Hoja2!B:D,2,0)</f>
        <v>148533</v>
      </c>
      <c r="H49" s="196">
        <f>VLOOKUP(D49,Hoja2!B:D,3,0)</f>
        <v>4485000</v>
      </c>
      <c r="I49" s="185">
        <v>6</v>
      </c>
      <c r="J49" s="220">
        <f t="shared" si="2"/>
        <v>269100</v>
      </c>
      <c r="L49" s="173"/>
    </row>
    <row r="50" spans="1:12" s="174" customFormat="1" ht="35.25" hidden="1" customHeight="1" x14ac:dyDescent="0.25">
      <c r="A50" s="173"/>
      <c r="B50" s="320"/>
      <c r="C50" s="240" t="s">
        <v>67</v>
      </c>
      <c r="D50" s="182" t="s">
        <v>158</v>
      </c>
      <c r="E50" s="182">
        <v>0</v>
      </c>
      <c r="F50" s="219">
        <v>0</v>
      </c>
      <c r="G50" s="246">
        <f>VLOOKUP(D50,Hoja2!B:D,2,0)</f>
        <v>241000</v>
      </c>
      <c r="H50" s="196">
        <f>VLOOKUP(D50,Hoja2!B:D,3,0)</f>
        <v>7270000</v>
      </c>
      <c r="I50" s="185">
        <v>6</v>
      </c>
      <c r="J50" s="220">
        <f t="shared" si="2"/>
        <v>0</v>
      </c>
      <c r="L50" s="173"/>
    </row>
    <row r="51" spans="1:12" s="174" customFormat="1" ht="35.25" hidden="1" customHeight="1" x14ac:dyDescent="0.25">
      <c r="A51" s="173"/>
      <c r="B51" s="320"/>
      <c r="C51" s="240" t="s">
        <v>160</v>
      </c>
      <c r="D51" s="182" t="s">
        <v>159</v>
      </c>
      <c r="E51" s="182">
        <v>0</v>
      </c>
      <c r="F51" s="219">
        <v>0</v>
      </c>
      <c r="G51" s="246">
        <f>VLOOKUP(D51,Hoja2!B:D,2,0)</f>
        <v>329000</v>
      </c>
      <c r="H51" s="196">
        <f>VLOOKUP(D51,Hoja2!B:D,3,0)</f>
        <v>9897000</v>
      </c>
      <c r="I51" s="185">
        <v>6</v>
      </c>
      <c r="J51" s="220">
        <f t="shared" si="2"/>
        <v>0</v>
      </c>
      <c r="L51" s="173"/>
    </row>
    <row r="52" spans="1:12" s="174" customFormat="1" ht="35.25" hidden="1" customHeight="1" x14ac:dyDescent="0.25">
      <c r="A52" s="173"/>
      <c r="B52" s="320"/>
      <c r="C52" s="240" t="s">
        <v>161</v>
      </c>
      <c r="D52" s="182" t="s">
        <v>152</v>
      </c>
      <c r="E52" s="182">
        <v>0</v>
      </c>
      <c r="F52" s="219">
        <v>0</v>
      </c>
      <c r="G52" s="246">
        <f>VLOOKUP(D52,Hoja2!B:D,2,0)</f>
        <v>190900</v>
      </c>
      <c r="H52" s="196">
        <f>VLOOKUP(D52,Hoja2!B:D,3,0)</f>
        <v>5756000</v>
      </c>
      <c r="I52" s="185">
        <v>6</v>
      </c>
      <c r="J52" s="220">
        <f t="shared" si="2"/>
        <v>0</v>
      </c>
      <c r="L52" s="173"/>
    </row>
    <row r="53" spans="1:12" s="174" customFormat="1" ht="35.25" hidden="1" customHeight="1" x14ac:dyDescent="0.25">
      <c r="A53" s="173"/>
      <c r="B53" s="321"/>
      <c r="C53" s="240" t="s">
        <v>162</v>
      </c>
      <c r="D53" s="182" t="s">
        <v>159</v>
      </c>
      <c r="E53" s="182">
        <v>0</v>
      </c>
      <c r="F53" s="219">
        <v>0</v>
      </c>
      <c r="G53" s="246">
        <f>VLOOKUP(D53,Hoja2!B:D,2,0)</f>
        <v>329000</v>
      </c>
      <c r="H53" s="196">
        <f>VLOOKUP(D53,Hoja2!B:D,3,0)</f>
        <v>9897000</v>
      </c>
      <c r="I53" s="185">
        <v>6</v>
      </c>
      <c r="J53" s="220">
        <f t="shared" si="2"/>
        <v>0</v>
      </c>
      <c r="L53" s="173"/>
    </row>
    <row r="54" spans="1:12" ht="8.25" customHeight="1" x14ac:dyDescent="0.25"/>
    <row r="55" spans="1:12" ht="27.75" customHeight="1" x14ac:dyDescent="0.25">
      <c r="B55" s="223" t="s">
        <v>211</v>
      </c>
      <c r="C55" s="242"/>
      <c r="D55" s="225"/>
      <c r="E55" s="225"/>
      <c r="F55" s="225"/>
      <c r="G55" s="203"/>
      <c r="H55" s="203"/>
      <c r="I55" s="203"/>
      <c r="J55" s="224">
        <f>SUM(J47:J54)</f>
        <v>269100</v>
      </c>
    </row>
    <row r="56" spans="1:12" ht="16.5" customHeight="1" x14ac:dyDescent="0.25"/>
    <row r="57" spans="1:12" s="174" customFormat="1" ht="83.25" customHeight="1" x14ac:dyDescent="0.25">
      <c r="A57" s="173"/>
      <c r="B57" s="226" t="s">
        <v>212</v>
      </c>
      <c r="C57" s="243" t="s">
        <v>183</v>
      </c>
      <c r="D57" s="322" t="s">
        <v>184</v>
      </c>
      <c r="E57" s="322"/>
      <c r="F57" s="322"/>
      <c r="G57" s="322"/>
      <c r="H57" s="228">
        <v>0.01</v>
      </c>
      <c r="I57" s="228"/>
      <c r="J57" s="224">
        <f>+J44*H57</f>
        <v>2205546.81</v>
      </c>
      <c r="L57" s="173"/>
    </row>
    <row r="58" spans="1:12" s="174" customFormat="1" ht="23.25" customHeight="1" x14ac:dyDescent="0.25">
      <c r="A58" s="173"/>
      <c r="B58" s="173"/>
      <c r="C58" s="234"/>
      <c r="D58" s="173"/>
      <c r="E58" s="173"/>
      <c r="F58" s="173"/>
      <c r="G58" s="217"/>
      <c r="H58" s="217"/>
      <c r="I58" s="217"/>
      <c r="J58" s="218"/>
      <c r="L58" s="173"/>
    </row>
    <row r="59" spans="1:12" s="174" customFormat="1" ht="26.25" customHeight="1" x14ac:dyDescent="0.25">
      <c r="A59" s="173"/>
      <c r="B59" s="226" t="s">
        <v>213</v>
      </c>
      <c r="C59" s="243" t="s">
        <v>186</v>
      </c>
      <c r="D59" s="307"/>
      <c r="E59" s="308"/>
      <c r="F59" s="308"/>
      <c r="G59" s="308"/>
      <c r="H59" s="309"/>
      <c r="I59" s="232"/>
      <c r="J59" s="249">
        <v>0</v>
      </c>
      <c r="L59" s="173"/>
    </row>
    <row r="60" spans="1:12" s="174" customFormat="1" ht="28.5" customHeight="1" x14ac:dyDescent="0.25">
      <c r="A60" s="173"/>
      <c r="B60" s="211"/>
      <c r="C60" s="200"/>
      <c r="D60" s="200"/>
      <c r="E60" s="200"/>
      <c r="F60" s="200"/>
      <c r="G60" s="200"/>
      <c r="H60" s="212"/>
      <c r="I60" s="212"/>
      <c r="J60" s="213"/>
      <c r="L60" s="173"/>
    </row>
    <row r="61" spans="1:12" s="174" customFormat="1" ht="28.5" customHeight="1" x14ac:dyDescent="0.25">
      <c r="A61" s="173"/>
      <c r="B61" s="215" t="s">
        <v>209</v>
      </c>
      <c r="C61" s="310"/>
      <c r="D61" s="311"/>
      <c r="E61" s="311"/>
      <c r="F61" s="311"/>
      <c r="G61" s="311"/>
      <c r="H61" s="312"/>
      <c r="I61" s="222"/>
      <c r="J61" s="214">
        <f>+J59+J57+J55+J44</f>
        <v>223029327.81</v>
      </c>
      <c r="L61" s="173"/>
    </row>
    <row r="62" spans="1:12" s="174" customFormat="1" ht="28.5" customHeight="1" x14ac:dyDescent="0.25">
      <c r="A62" s="173"/>
      <c r="B62" s="216" t="s">
        <v>214</v>
      </c>
      <c r="C62" s="313"/>
      <c r="D62" s="314"/>
      <c r="E62" s="314"/>
      <c r="F62" s="314"/>
      <c r="G62" s="314"/>
      <c r="H62" s="315"/>
      <c r="I62" s="247">
        <v>0.19</v>
      </c>
      <c r="J62" s="214">
        <f>+I62*J61</f>
        <v>42375572.2839</v>
      </c>
      <c r="L62" s="173"/>
    </row>
    <row r="63" spans="1:12" s="174" customFormat="1" ht="28.5" customHeight="1" x14ac:dyDescent="0.25">
      <c r="A63" s="173"/>
      <c r="B63" s="229" t="s">
        <v>215</v>
      </c>
      <c r="C63" s="316"/>
      <c r="D63" s="316"/>
      <c r="E63" s="316"/>
      <c r="F63" s="316"/>
      <c r="G63" s="316"/>
      <c r="H63" s="316"/>
      <c r="I63" s="233"/>
      <c r="J63" s="230">
        <f>ROUND(J62+J61,0)</f>
        <v>265404900</v>
      </c>
      <c r="L63" s="173"/>
    </row>
    <row r="64" spans="1:12" s="174" customFormat="1" ht="30.75" customHeight="1" x14ac:dyDescent="0.25">
      <c r="A64" s="173"/>
      <c r="B64" s="231" t="s">
        <v>180</v>
      </c>
      <c r="C64" s="234"/>
      <c r="D64" s="173"/>
      <c r="E64" s="173"/>
      <c r="F64" s="173"/>
      <c r="G64" s="175"/>
      <c r="H64" s="197"/>
      <c r="I64" s="197"/>
      <c r="J64" s="197"/>
      <c r="L64" s="173"/>
    </row>
    <row r="65" spans="1:12" s="174" customFormat="1" ht="24.75" customHeight="1" x14ac:dyDescent="0.25">
      <c r="A65" s="173"/>
      <c r="B65" s="231" t="s">
        <v>181</v>
      </c>
      <c r="C65" s="234"/>
      <c r="D65" s="173"/>
      <c r="E65" s="173"/>
      <c r="F65" s="173"/>
      <c r="G65" s="175"/>
      <c r="H65" s="197"/>
      <c r="I65" s="197"/>
      <c r="J65" s="197"/>
      <c r="L65" s="173"/>
    </row>
    <row r="66" spans="1:12" s="174" customFormat="1" ht="30" customHeight="1" x14ac:dyDescent="0.25">
      <c r="A66" s="173"/>
      <c r="B66" s="231" t="s">
        <v>188</v>
      </c>
      <c r="C66" s="234"/>
      <c r="D66" s="173"/>
      <c r="E66" s="173"/>
      <c r="F66" s="173"/>
      <c r="G66" s="175"/>
      <c r="H66" s="175"/>
      <c r="I66" s="175"/>
      <c r="J66" s="175"/>
      <c r="L66" s="173"/>
    </row>
    <row r="72" spans="1:12" ht="19.5" customHeight="1" x14ac:dyDescent="0.25">
      <c r="B72" s="200" t="s">
        <v>198</v>
      </c>
    </row>
    <row r="73" spans="1:12" ht="18" x14ac:dyDescent="0.25">
      <c r="B73" s="201"/>
    </row>
    <row r="74" spans="1:12" ht="18" customHeight="1" x14ac:dyDescent="0.25">
      <c r="B74" s="202"/>
    </row>
    <row r="75" spans="1:12" ht="18" x14ac:dyDescent="0.25">
      <c r="B75" s="202"/>
    </row>
  </sheetData>
  <protectedRanges>
    <protectedRange sqref="J10 J46" name="Rango1_4_1_2_1_1"/>
  </protectedRanges>
  <mergeCells count="10">
    <mergeCell ref="D59:H59"/>
    <mergeCell ref="C61:H61"/>
    <mergeCell ref="C62:H62"/>
    <mergeCell ref="C63:H63"/>
    <mergeCell ref="B5:J5"/>
    <mergeCell ref="B11:B13"/>
    <mergeCell ref="B14:B33"/>
    <mergeCell ref="B34:B42"/>
    <mergeCell ref="B46:B53"/>
    <mergeCell ref="D57:G57"/>
  </mergeCells>
  <printOptions horizontalCentered="1"/>
  <pageMargins left="0.54" right="0.28000000000000003" top="0.33" bottom="0.3" header="0.31496062992125984" footer="0.31496062992125984"/>
  <pageSetup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Hoja2!$G$14:$G$16</xm:f>
          </x14:formula1>
          <xm:sqref>D11:D13</xm:sqref>
        </x14:dataValidation>
        <x14:dataValidation type="list" allowBlank="1" showInputMessage="1" showErrorMessage="1" xr:uid="{00000000-0002-0000-0100-000001000000}">
          <x14:formula1>
            <xm:f>Hoja2!$H$14:$H$20</xm:f>
          </x14:formula1>
          <xm:sqref>D14:D33</xm:sqref>
        </x14:dataValidation>
        <x14:dataValidation type="list" allowBlank="1" showInputMessage="1" showErrorMessage="1" xr:uid="{00000000-0002-0000-0100-000002000000}">
          <x14:formula1>
            <xm:f>Hoja2!$I$14:$I$22</xm:f>
          </x14:formula1>
          <xm:sqref>D34:D43</xm:sqref>
        </x14:dataValidation>
        <x14:dataValidation type="list" allowBlank="1" showInputMessage="1" showErrorMessage="1" xr:uid="{00000000-0002-0000-0100-000003000000}">
          <x14:formula1>
            <xm:f>Hoja2!$J$14:$J$20</xm:f>
          </x14:formula1>
          <xm:sqref>D47:D53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5:L82"/>
  <sheetViews>
    <sheetView view="pageBreakPreview" topLeftCell="B43" zoomScale="70" zoomScaleNormal="85" zoomScaleSheetLayoutView="70" workbookViewId="0">
      <pane ySplit="6105" topLeftCell="A64" activePane="bottomLeft"/>
      <selection activeCell="H58" sqref="H58"/>
      <selection pane="bottomLeft" activeCell="H58" sqref="H58"/>
    </sheetView>
  </sheetViews>
  <sheetFormatPr baseColWidth="10" defaultColWidth="11.42578125" defaultRowHeight="15" x14ac:dyDescent="0.25"/>
  <cols>
    <col min="1" max="1" width="4" style="173" customWidth="1"/>
    <col min="2" max="2" width="48.5703125" style="173" customWidth="1"/>
    <col min="3" max="3" width="60.5703125" style="234" customWidth="1"/>
    <col min="4" max="4" width="17.5703125" style="173" bestFit="1" customWidth="1"/>
    <col min="5" max="5" width="13.42578125" style="173" bestFit="1" customWidth="1"/>
    <col min="6" max="6" width="20" style="173" bestFit="1" customWidth="1"/>
    <col min="7" max="7" width="24.85546875" style="175" customWidth="1"/>
    <col min="8" max="8" width="24" style="175" customWidth="1"/>
    <col min="9" max="9" width="25.5703125" style="175" customWidth="1"/>
    <col min="10" max="10" width="31.42578125" style="175" customWidth="1"/>
    <col min="11" max="11" width="11.42578125" style="174"/>
    <col min="12" max="12" width="15.5703125" style="173" bestFit="1" customWidth="1"/>
    <col min="13" max="16384" width="11.42578125" style="173"/>
  </cols>
  <sheetData>
    <row r="5" spans="2:10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  <c r="J5" s="317"/>
    </row>
    <row r="7" spans="2:10" ht="33" customHeight="1" x14ac:dyDescent="0.25">
      <c r="B7" s="231" t="s">
        <v>234</v>
      </c>
    </row>
    <row r="10" spans="2:10" ht="72" customHeight="1" x14ac:dyDescent="0.25">
      <c r="B10" s="221" t="s">
        <v>142</v>
      </c>
      <c r="C10" s="236" t="s">
        <v>144</v>
      </c>
      <c r="D10" s="176" t="s">
        <v>143</v>
      </c>
      <c r="E10" s="176" t="s">
        <v>1</v>
      </c>
      <c r="F10" s="176" t="s">
        <v>233</v>
      </c>
      <c r="G10" s="199" t="s">
        <v>191</v>
      </c>
      <c r="H10" s="179" t="s">
        <v>146</v>
      </c>
      <c r="I10" s="179" t="s">
        <v>229</v>
      </c>
      <c r="J10" s="180" t="s">
        <v>145</v>
      </c>
    </row>
    <row r="11" spans="2:10" ht="50.25" customHeight="1" x14ac:dyDescent="0.25">
      <c r="B11" s="318" t="s">
        <v>138</v>
      </c>
      <c r="C11" s="244" t="s">
        <v>200</v>
      </c>
      <c r="D11" s="182" t="s">
        <v>165</v>
      </c>
      <c r="E11" s="182">
        <v>1</v>
      </c>
      <c r="F11" s="219">
        <v>0.3</v>
      </c>
      <c r="G11" s="196">
        <f>VLOOKUP(D11,Hoja2!B:D,3,0)</f>
        <v>5862000</v>
      </c>
      <c r="H11" s="245">
        <v>2.19</v>
      </c>
      <c r="I11" s="245">
        <v>6</v>
      </c>
      <c r="J11" s="186">
        <f>+I11*H11*G11*F11*E11</f>
        <v>23108004</v>
      </c>
    </row>
    <row r="12" spans="2:10" ht="36.75" hidden="1" customHeight="1" x14ac:dyDescent="0.25">
      <c r="B12" s="318"/>
      <c r="C12" s="244" t="s">
        <v>200</v>
      </c>
      <c r="D12" s="182" t="s">
        <v>165</v>
      </c>
      <c r="E12" s="182">
        <v>0</v>
      </c>
      <c r="F12" s="219"/>
      <c r="G12" s="196">
        <f>VLOOKUP(D12,Hoja2!B:D,3,0)</f>
        <v>5862000</v>
      </c>
      <c r="H12" s="245">
        <f>+$H$11</f>
        <v>2.19</v>
      </c>
      <c r="I12" s="245">
        <v>0</v>
      </c>
      <c r="J12" s="186">
        <f t="shared" ref="J12:J42" si="0">+I12*H12*G12*F12*E12</f>
        <v>0</v>
      </c>
    </row>
    <row r="13" spans="2:10" ht="41.25" hidden="1" customHeight="1" x14ac:dyDescent="0.25">
      <c r="B13" s="318"/>
      <c r="C13" s="244" t="s">
        <v>200</v>
      </c>
      <c r="D13" s="182" t="s">
        <v>166</v>
      </c>
      <c r="E13" s="182">
        <v>0</v>
      </c>
      <c r="F13" s="219"/>
      <c r="G13" s="196">
        <f>VLOOKUP(D13,Hoja2!B:D,3,0)</f>
        <v>4992000</v>
      </c>
      <c r="H13" s="245">
        <f t="shared" ref="H13:H42" si="1">+$H$11</f>
        <v>2.19</v>
      </c>
      <c r="I13" s="245">
        <v>0</v>
      </c>
      <c r="J13" s="186">
        <f t="shared" si="0"/>
        <v>0</v>
      </c>
    </row>
    <row r="14" spans="2:10" ht="62.25" hidden="1" customHeight="1" x14ac:dyDescent="0.25">
      <c r="B14" s="318" t="s">
        <v>68</v>
      </c>
      <c r="C14" s="244" t="s">
        <v>201</v>
      </c>
      <c r="D14" s="182" t="s">
        <v>164</v>
      </c>
      <c r="E14" s="182">
        <v>1</v>
      </c>
      <c r="F14" s="219">
        <v>0</v>
      </c>
      <c r="G14" s="196">
        <f>VLOOKUP(D14,Hoja2!B:D,3,0)</f>
        <v>6946000</v>
      </c>
      <c r="H14" s="245">
        <f t="shared" si="1"/>
        <v>2.19</v>
      </c>
      <c r="I14" s="245">
        <v>0</v>
      </c>
      <c r="J14" s="186">
        <f t="shared" si="0"/>
        <v>0</v>
      </c>
    </row>
    <row r="15" spans="2:10" ht="41.25" hidden="1" customHeight="1" x14ac:dyDescent="0.25">
      <c r="B15" s="318"/>
      <c r="C15" s="244" t="s">
        <v>202</v>
      </c>
      <c r="D15" s="182" t="s">
        <v>167</v>
      </c>
      <c r="E15" s="182">
        <v>0</v>
      </c>
      <c r="F15" s="219"/>
      <c r="G15" s="196">
        <f>VLOOKUP(D15,Hoja2!B:D,3,0)</f>
        <v>4501000</v>
      </c>
      <c r="H15" s="245">
        <f t="shared" si="1"/>
        <v>2.19</v>
      </c>
      <c r="I15" s="245">
        <v>0</v>
      </c>
      <c r="J15" s="186">
        <f t="shared" si="0"/>
        <v>0</v>
      </c>
    </row>
    <row r="16" spans="2:10" ht="41.25" customHeight="1" x14ac:dyDescent="0.25">
      <c r="B16" s="318"/>
      <c r="C16" s="244" t="s">
        <v>203</v>
      </c>
      <c r="D16" s="182" t="s">
        <v>167</v>
      </c>
      <c r="E16" s="182">
        <v>1</v>
      </c>
      <c r="F16" s="219">
        <v>0.05</v>
      </c>
      <c r="G16" s="196">
        <f>VLOOKUP(D16,Hoja2!B:D,3,0)</f>
        <v>4501000</v>
      </c>
      <c r="H16" s="245">
        <f t="shared" si="1"/>
        <v>2.19</v>
      </c>
      <c r="I16" s="245">
        <v>5</v>
      </c>
      <c r="J16" s="186">
        <f t="shared" si="0"/>
        <v>2464297.5</v>
      </c>
    </row>
    <row r="17" spans="2:10" ht="41.25" customHeight="1" x14ac:dyDescent="0.25">
      <c r="B17" s="318"/>
      <c r="C17" s="244" t="s">
        <v>204</v>
      </c>
      <c r="D17" s="182" t="s">
        <v>167</v>
      </c>
      <c r="E17" s="182">
        <v>1</v>
      </c>
      <c r="F17" s="219">
        <v>0.05</v>
      </c>
      <c r="G17" s="196">
        <f>VLOOKUP(D17,Hoja2!B:D,3,0)</f>
        <v>4501000</v>
      </c>
      <c r="H17" s="245">
        <f t="shared" si="1"/>
        <v>2.19</v>
      </c>
      <c r="I17" s="245">
        <v>5</v>
      </c>
      <c r="J17" s="186">
        <f t="shared" si="0"/>
        <v>2464297.5</v>
      </c>
    </row>
    <row r="18" spans="2:10" ht="46.5" customHeight="1" x14ac:dyDescent="0.25">
      <c r="B18" s="318"/>
      <c r="C18" s="244" t="s">
        <v>205</v>
      </c>
      <c r="D18" s="182" t="s">
        <v>167</v>
      </c>
      <c r="E18" s="182">
        <v>1</v>
      </c>
      <c r="F18" s="219">
        <v>0.05</v>
      </c>
      <c r="G18" s="196">
        <f>VLOOKUP(D18,Hoja2!B:D,3,0)</f>
        <v>4501000</v>
      </c>
      <c r="H18" s="245">
        <f t="shared" si="1"/>
        <v>2.19</v>
      </c>
      <c r="I18" s="245">
        <v>5</v>
      </c>
      <c r="J18" s="186">
        <f t="shared" si="0"/>
        <v>2464297.5</v>
      </c>
    </row>
    <row r="19" spans="2:10" ht="41.25" customHeight="1" x14ac:dyDescent="0.25">
      <c r="B19" s="318"/>
      <c r="C19" s="244" t="s">
        <v>206</v>
      </c>
      <c r="D19" s="182" t="s">
        <v>167</v>
      </c>
      <c r="E19" s="182">
        <v>1</v>
      </c>
      <c r="F19" s="219">
        <v>0.05</v>
      </c>
      <c r="G19" s="196">
        <f>VLOOKUP(D19,Hoja2!B:D,3,0)</f>
        <v>4501000</v>
      </c>
      <c r="H19" s="245">
        <f t="shared" si="1"/>
        <v>2.19</v>
      </c>
      <c r="I19" s="245">
        <v>5</v>
      </c>
      <c r="J19" s="186">
        <f t="shared" si="0"/>
        <v>2464297.5</v>
      </c>
    </row>
    <row r="20" spans="2:10" ht="41.25" customHeight="1" x14ac:dyDescent="0.25">
      <c r="B20" s="318"/>
      <c r="C20" s="244" t="s">
        <v>207</v>
      </c>
      <c r="D20" s="182" t="s">
        <v>167</v>
      </c>
      <c r="E20" s="182">
        <v>1</v>
      </c>
      <c r="F20" s="219">
        <v>0.05</v>
      </c>
      <c r="G20" s="196">
        <f>VLOOKUP(D20,Hoja2!B:D,3,0)</f>
        <v>4501000</v>
      </c>
      <c r="H20" s="245">
        <f t="shared" si="1"/>
        <v>2.19</v>
      </c>
      <c r="I20" s="245">
        <v>5</v>
      </c>
      <c r="J20" s="186">
        <f t="shared" si="0"/>
        <v>2464297.5</v>
      </c>
    </row>
    <row r="21" spans="2:10" ht="41.25" hidden="1" customHeight="1" x14ac:dyDescent="0.25">
      <c r="B21" s="318"/>
      <c r="C21" s="237" t="s">
        <v>217</v>
      </c>
      <c r="D21" s="182" t="s">
        <v>167</v>
      </c>
      <c r="E21" s="182">
        <v>0</v>
      </c>
      <c r="F21" s="219"/>
      <c r="G21" s="196">
        <f>VLOOKUP(D21,Hoja2!B:D,3,0)</f>
        <v>4501000</v>
      </c>
      <c r="H21" s="245">
        <f t="shared" si="1"/>
        <v>2.19</v>
      </c>
      <c r="I21" s="245">
        <v>0</v>
      </c>
      <c r="J21" s="186">
        <f t="shared" si="0"/>
        <v>0</v>
      </c>
    </row>
    <row r="22" spans="2:10" ht="41.25" hidden="1" customHeight="1" x14ac:dyDescent="0.25">
      <c r="B22" s="318"/>
      <c r="C22" s="237" t="s">
        <v>218</v>
      </c>
      <c r="D22" s="182" t="s">
        <v>167</v>
      </c>
      <c r="E22" s="182">
        <v>0</v>
      </c>
      <c r="F22" s="219"/>
      <c r="G22" s="196">
        <f>VLOOKUP(D22,Hoja2!B:D,3,0)</f>
        <v>4501000</v>
      </c>
      <c r="H22" s="245">
        <f t="shared" si="1"/>
        <v>2.19</v>
      </c>
      <c r="I22" s="245">
        <v>0</v>
      </c>
      <c r="J22" s="186">
        <f t="shared" si="0"/>
        <v>0</v>
      </c>
    </row>
    <row r="23" spans="2:10" ht="41.25" customHeight="1" x14ac:dyDescent="0.25">
      <c r="B23" s="318"/>
      <c r="C23" s="237" t="s">
        <v>219</v>
      </c>
      <c r="D23" s="182" t="s">
        <v>167</v>
      </c>
      <c r="E23" s="182">
        <v>1</v>
      </c>
      <c r="F23" s="219">
        <v>0.05</v>
      </c>
      <c r="G23" s="196">
        <f>VLOOKUP(D23,Hoja2!B:D,3,0)</f>
        <v>4501000</v>
      </c>
      <c r="H23" s="245">
        <f t="shared" si="1"/>
        <v>2.19</v>
      </c>
      <c r="I23" s="245">
        <v>5</v>
      </c>
      <c r="J23" s="186">
        <f t="shared" si="0"/>
        <v>2464297.5</v>
      </c>
    </row>
    <row r="24" spans="2:10" ht="41.25" hidden="1" customHeight="1" x14ac:dyDescent="0.25">
      <c r="B24" s="318"/>
      <c r="C24" s="237" t="s">
        <v>220</v>
      </c>
      <c r="D24" s="182" t="s">
        <v>165</v>
      </c>
      <c r="E24" s="182">
        <v>0</v>
      </c>
      <c r="F24" s="219"/>
      <c r="G24" s="196">
        <f>VLOOKUP(D24,Hoja2!B:D,3,0)</f>
        <v>5862000</v>
      </c>
      <c r="H24" s="245">
        <f t="shared" si="1"/>
        <v>2.19</v>
      </c>
      <c r="I24" s="245">
        <v>0</v>
      </c>
      <c r="J24" s="186">
        <f t="shared" si="0"/>
        <v>0</v>
      </c>
    </row>
    <row r="25" spans="2:10" ht="41.25" customHeight="1" x14ac:dyDescent="0.25">
      <c r="B25" s="318"/>
      <c r="C25" s="237" t="s">
        <v>228</v>
      </c>
      <c r="D25" s="182" t="s">
        <v>167</v>
      </c>
      <c r="E25" s="182">
        <v>1</v>
      </c>
      <c r="F25" s="219">
        <v>0.05</v>
      </c>
      <c r="G25" s="196">
        <f>VLOOKUP(D25,Hoja2!B:D,3,0)</f>
        <v>4501000</v>
      </c>
      <c r="H25" s="245">
        <f t="shared" si="1"/>
        <v>2.19</v>
      </c>
      <c r="I25" s="245">
        <v>6</v>
      </c>
      <c r="J25" s="186">
        <f t="shared" si="0"/>
        <v>2957157</v>
      </c>
    </row>
    <row r="26" spans="2:10" ht="41.25" customHeight="1" x14ac:dyDescent="0.25">
      <c r="B26" s="318"/>
      <c r="C26" s="237" t="s">
        <v>221</v>
      </c>
      <c r="D26" s="182" t="s">
        <v>167</v>
      </c>
      <c r="E26" s="182">
        <v>1</v>
      </c>
      <c r="F26" s="219">
        <v>1</v>
      </c>
      <c r="G26" s="196">
        <f>VLOOKUP(D26,Hoja2!B:D,3,0)</f>
        <v>4501000</v>
      </c>
      <c r="H26" s="245">
        <f t="shared" si="1"/>
        <v>2.19</v>
      </c>
      <c r="I26" s="245">
        <v>6</v>
      </c>
      <c r="J26" s="186">
        <f t="shared" si="0"/>
        <v>59143140</v>
      </c>
    </row>
    <row r="27" spans="2:10" ht="41.25" customHeight="1" x14ac:dyDescent="0.25">
      <c r="B27" s="318"/>
      <c r="C27" s="237" t="s">
        <v>222</v>
      </c>
      <c r="D27" s="182" t="s">
        <v>167</v>
      </c>
      <c r="E27" s="182">
        <v>1</v>
      </c>
      <c r="F27" s="219">
        <v>0.5</v>
      </c>
      <c r="G27" s="196">
        <f>VLOOKUP(D27,Hoja2!B:D,3,0)</f>
        <v>4501000</v>
      </c>
      <c r="H27" s="245">
        <f t="shared" si="1"/>
        <v>2.19</v>
      </c>
      <c r="I27" s="245">
        <v>5</v>
      </c>
      <c r="J27" s="186">
        <f t="shared" si="0"/>
        <v>24642975</v>
      </c>
    </row>
    <row r="28" spans="2:10" ht="41.25" hidden="1" customHeight="1" x14ac:dyDescent="0.25">
      <c r="B28" s="318"/>
      <c r="C28" s="237" t="s">
        <v>223</v>
      </c>
      <c r="D28" s="182" t="s">
        <v>167</v>
      </c>
      <c r="E28" s="182">
        <v>0</v>
      </c>
      <c r="F28" s="219">
        <v>0</v>
      </c>
      <c r="G28" s="196">
        <f>VLOOKUP(D28,Hoja2!B:D,3,0)</f>
        <v>4501000</v>
      </c>
      <c r="H28" s="245">
        <f t="shared" si="1"/>
        <v>2.19</v>
      </c>
      <c r="I28" s="245">
        <v>0</v>
      </c>
      <c r="J28" s="186">
        <f t="shared" si="0"/>
        <v>0</v>
      </c>
    </row>
    <row r="29" spans="2:10" ht="41.25" hidden="1" customHeight="1" x14ac:dyDescent="0.25">
      <c r="B29" s="318"/>
      <c r="C29" s="237" t="s">
        <v>224</v>
      </c>
      <c r="D29" s="182" t="s">
        <v>165</v>
      </c>
      <c r="E29" s="182">
        <v>0</v>
      </c>
      <c r="F29" s="219">
        <v>0</v>
      </c>
      <c r="G29" s="196">
        <f>VLOOKUP(D29,Hoja2!B:D,3,0)</f>
        <v>5862000</v>
      </c>
      <c r="H29" s="245">
        <f t="shared" si="1"/>
        <v>2.19</v>
      </c>
      <c r="I29" s="245">
        <v>0</v>
      </c>
      <c r="J29" s="186">
        <f t="shared" si="0"/>
        <v>0</v>
      </c>
    </row>
    <row r="30" spans="2:10" ht="41.25" hidden="1" customHeight="1" x14ac:dyDescent="0.25">
      <c r="B30" s="318"/>
      <c r="C30" s="237" t="s">
        <v>225</v>
      </c>
      <c r="D30" s="182" t="s">
        <v>165</v>
      </c>
      <c r="E30" s="182">
        <v>0</v>
      </c>
      <c r="F30" s="219">
        <v>0</v>
      </c>
      <c r="G30" s="196">
        <f>VLOOKUP(D30,Hoja2!B:D,3,0)</f>
        <v>5862000</v>
      </c>
      <c r="H30" s="245">
        <f t="shared" si="1"/>
        <v>2.19</v>
      </c>
      <c r="I30" s="245">
        <v>0</v>
      </c>
      <c r="J30" s="186">
        <f t="shared" si="0"/>
        <v>0</v>
      </c>
    </row>
    <row r="31" spans="2:10" ht="41.25" customHeight="1" x14ac:dyDescent="0.25">
      <c r="B31" s="318"/>
      <c r="C31" s="237" t="s">
        <v>230</v>
      </c>
      <c r="D31" s="182" t="s">
        <v>137</v>
      </c>
      <c r="E31" s="182">
        <v>1</v>
      </c>
      <c r="F31" s="219">
        <v>1</v>
      </c>
      <c r="G31" s="196">
        <f>VLOOKUP(D31,Hoja2!B:D,3,0)</f>
        <v>2864000</v>
      </c>
      <c r="H31" s="245">
        <f t="shared" si="1"/>
        <v>2.19</v>
      </c>
      <c r="I31" s="245">
        <v>5</v>
      </c>
      <c r="J31" s="186">
        <f t="shared" si="0"/>
        <v>31360799.999999996</v>
      </c>
    </row>
    <row r="32" spans="2:10" ht="41.25" hidden="1" customHeight="1" x14ac:dyDescent="0.25">
      <c r="B32" s="318"/>
      <c r="C32" s="237" t="s">
        <v>226</v>
      </c>
      <c r="D32" s="182" t="s">
        <v>168</v>
      </c>
      <c r="E32" s="182">
        <v>0</v>
      </c>
      <c r="F32" s="219">
        <v>0</v>
      </c>
      <c r="G32" s="196">
        <f>VLOOKUP(D32,Hoja2!B:D,3,0)</f>
        <v>4014000</v>
      </c>
      <c r="H32" s="245">
        <f t="shared" si="1"/>
        <v>2.19</v>
      </c>
      <c r="I32" s="245">
        <v>0</v>
      </c>
      <c r="J32" s="186">
        <f t="shared" si="0"/>
        <v>0</v>
      </c>
    </row>
    <row r="33" spans="1:12" ht="41.25" customHeight="1" x14ac:dyDescent="0.25">
      <c r="B33" s="318"/>
      <c r="C33" s="237" t="s">
        <v>227</v>
      </c>
      <c r="D33" s="182" t="s">
        <v>167</v>
      </c>
      <c r="E33" s="182">
        <v>1</v>
      </c>
      <c r="F33" s="219">
        <v>0.1</v>
      </c>
      <c r="G33" s="196">
        <f>VLOOKUP(D33,Hoja2!B:D,3,0)</f>
        <v>4501000</v>
      </c>
      <c r="H33" s="245">
        <f t="shared" si="1"/>
        <v>2.19</v>
      </c>
      <c r="I33" s="245">
        <v>5</v>
      </c>
      <c r="J33" s="186">
        <f t="shared" si="0"/>
        <v>4928595</v>
      </c>
    </row>
    <row r="34" spans="1:12" ht="41.1" customHeight="1" x14ac:dyDescent="0.25">
      <c r="B34" s="319" t="s">
        <v>140</v>
      </c>
      <c r="C34" s="244" t="s">
        <v>136</v>
      </c>
      <c r="D34" s="182" t="s">
        <v>170</v>
      </c>
      <c r="E34" s="182">
        <v>1</v>
      </c>
      <c r="F34" s="219">
        <v>0.1</v>
      </c>
      <c r="G34" s="198">
        <f>VLOOKUP(D34,Hoja2!B:D,3,0)</f>
        <v>2165000</v>
      </c>
      <c r="H34" s="245">
        <f t="shared" si="1"/>
        <v>2.19</v>
      </c>
      <c r="I34" s="245">
        <v>5</v>
      </c>
      <c r="J34" s="186">
        <f t="shared" si="0"/>
        <v>2370675</v>
      </c>
    </row>
    <row r="35" spans="1:12" ht="41.1" hidden="1" customHeight="1" x14ac:dyDescent="0.25">
      <c r="B35" s="320"/>
      <c r="C35" s="244" t="s">
        <v>72</v>
      </c>
      <c r="D35" s="182" t="s">
        <v>171</v>
      </c>
      <c r="E35" s="182">
        <v>0</v>
      </c>
      <c r="F35" s="219">
        <v>0</v>
      </c>
      <c r="G35" s="198">
        <f>VLOOKUP(D35,Hoja2!B:D,3,0)</f>
        <v>2078000</v>
      </c>
      <c r="H35" s="245">
        <f t="shared" si="1"/>
        <v>2.19</v>
      </c>
      <c r="I35" s="245">
        <v>0</v>
      </c>
      <c r="J35" s="186">
        <f t="shared" si="0"/>
        <v>0</v>
      </c>
    </row>
    <row r="36" spans="1:12" ht="41.1" hidden="1" customHeight="1" x14ac:dyDescent="0.25">
      <c r="B36" s="320"/>
      <c r="C36" s="244" t="s">
        <v>135</v>
      </c>
      <c r="D36" s="182" t="s">
        <v>172</v>
      </c>
      <c r="E36" s="182">
        <v>1</v>
      </c>
      <c r="F36" s="219">
        <v>0</v>
      </c>
      <c r="G36" s="198">
        <f>VLOOKUP(D36,Hoja2!B:D,3,0)</f>
        <v>1916000</v>
      </c>
      <c r="H36" s="245">
        <f t="shared" si="1"/>
        <v>2.19</v>
      </c>
      <c r="I36" s="245">
        <v>0</v>
      </c>
      <c r="J36" s="186">
        <f t="shared" si="0"/>
        <v>0</v>
      </c>
    </row>
    <row r="37" spans="1:12" ht="41.1" hidden="1" customHeight="1" x14ac:dyDescent="0.25">
      <c r="B37" s="320"/>
      <c r="C37" s="244" t="s">
        <v>73</v>
      </c>
      <c r="D37" s="182" t="s">
        <v>173</v>
      </c>
      <c r="E37" s="182">
        <v>1</v>
      </c>
      <c r="F37" s="219">
        <v>0</v>
      </c>
      <c r="G37" s="198">
        <f>VLOOKUP(D37,Hoja2!B:D,3,0)</f>
        <v>1827000</v>
      </c>
      <c r="H37" s="245">
        <f t="shared" si="1"/>
        <v>2.19</v>
      </c>
      <c r="I37" s="245">
        <v>0</v>
      </c>
      <c r="J37" s="186">
        <f t="shared" si="0"/>
        <v>0</v>
      </c>
    </row>
    <row r="38" spans="1:12" ht="41.1" hidden="1" customHeight="1" x14ac:dyDescent="0.25">
      <c r="B38" s="320"/>
      <c r="C38" s="244" t="s">
        <v>75</v>
      </c>
      <c r="D38" s="182" t="s">
        <v>174</v>
      </c>
      <c r="E38" s="182">
        <v>0</v>
      </c>
      <c r="F38" s="219"/>
      <c r="G38" s="198">
        <f>VLOOKUP(D38,Hoja2!B:D,3,0)</f>
        <v>1777000</v>
      </c>
      <c r="H38" s="245">
        <f t="shared" si="1"/>
        <v>2.19</v>
      </c>
      <c r="I38" s="245">
        <v>0</v>
      </c>
      <c r="J38" s="186">
        <f t="shared" si="0"/>
        <v>0</v>
      </c>
    </row>
    <row r="39" spans="1:12" ht="41.1" hidden="1" customHeight="1" x14ac:dyDescent="0.25">
      <c r="B39" s="320"/>
      <c r="C39" s="244" t="s">
        <v>134</v>
      </c>
      <c r="D39" s="182" t="s">
        <v>175</v>
      </c>
      <c r="E39" s="182">
        <v>0</v>
      </c>
      <c r="F39" s="219"/>
      <c r="G39" s="198">
        <f>VLOOKUP(D39,Hoja2!B:D,3,0)</f>
        <v>1576000</v>
      </c>
      <c r="H39" s="245">
        <f t="shared" si="1"/>
        <v>2.19</v>
      </c>
      <c r="I39" s="245">
        <v>0</v>
      </c>
      <c r="J39" s="186">
        <f t="shared" si="0"/>
        <v>0</v>
      </c>
    </row>
    <row r="40" spans="1:12" ht="41.1" customHeight="1" x14ac:dyDescent="0.25">
      <c r="B40" s="320"/>
      <c r="C40" s="244" t="s">
        <v>74</v>
      </c>
      <c r="D40" s="182" t="s">
        <v>176</v>
      </c>
      <c r="E40" s="182">
        <v>1</v>
      </c>
      <c r="F40" s="219">
        <v>1</v>
      </c>
      <c r="G40" s="198">
        <f>VLOOKUP(D40,Hoja2!B:D,3,0)</f>
        <v>1548000</v>
      </c>
      <c r="H40" s="245">
        <f t="shared" si="1"/>
        <v>2.19</v>
      </c>
      <c r="I40" s="245">
        <v>5</v>
      </c>
      <c r="J40" s="186">
        <f t="shared" si="0"/>
        <v>16950600</v>
      </c>
    </row>
    <row r="41" spans="1:12" ht="41.1" hidden="1" customHeight="1" x14ac:dyDescent="0.25">
      <c r="B41" s="320"/>
      <c r="C41" s="244" t="s">
        <v>77</v>
      </c>
      <c r="D41" s="182" t="s">
        <v>176</v>
      </c>
      <c r="E41" s="182">
        <v>0</v>
      </c>
      <c r="F41" s="219"/>
      <c r="G41" s="198">
        <f>VLOOKUP(D41,Hoja2!B:D,3,0)</f>
        <v>1548000</v>
      </c>
      <c r="H41" s="245">
        <f t="shared" si="1"/>
        <v>2.19</v>
      </c>
      <c r="I41" s="245">
        <v>0</v>
      </c>
      <c r="J41" s="186">
        <f t="shared" si="0"/>
        <v>0</v>
      </c>
    </row>
    <row r="42" spans="1:12" ht="41.1" customHeight="1" x14ac:dyDescent="0.25">
      <c r="B42" s="321"/>
      <c r="C42" s="244" t="s">
        <v>179</v>
      </c>
      <c r="D42" s="182" t="s">
        <v>178</v>
      </c>
      <c r="E42" s="182">
        <v>1</v>
      </c>
      <c r="F42" s="219">
        <v>0.1</v>
      </c>
      <c r="G42" s="198">
        <f>VLOOKUP(D42,Hoja2!B:D,3,0)</f>
        <v>1343000</v>
      </c>
      <c r="H42" s="245">
        <f t="shared" si="1"/>
        <v>2.19</v>
      </c>
      <c r="I42" s="245">
        <v>6</v>
      </c>
      <c r="J42" s="186">
        <f t="shared" si="0"/>
        <v>1764702</v>
      </c>
    </row>
    <row r="43" spans="1:12" ht="12.75" customHeight="1" x14ac:dyDescent="0.25">
      <c r="B43" s="207"/>
      <c r="D43" s="205"/>
      <c r="E43" s="205"/>
      <c r="F43" s="205"/>
      <c r="G43" s="208"/>
      <c r="H43" s="209"/>
      <c r="I43" s="209"/>
      <c r="J43" s="210"/>
    </row>
    <row r="44" spans="1:12" ht="33.75" customHeight="1" x14ac:dyDescent="0.25">
      <c r="B44" s="223" t="s">
        <v>210</v>
      </c>
      <c r="C44" s="238"/>
      <c r="D44" s="223"/>
      <c r="E44" s="223"/>
      <c r="F44" s="223"/>
      <c r="G44" s="224"/>
      <c r="H44" s="224"/>
      <c r="I44" s="224"/>
      <c r="J44" s="224">
        <f>SUM(J11:J43)</f>
        <v>182012433</v>
      </c>
    </row>
    <row r="45" spans="1:12" ht="9" customHeight="1" x14ac:dyDescent="0.25"/>
    <row r="46" spans="1:12" ht="44.25" customHeight="1" x14ac:dyDescent="0.25">
      <c r="B46" s="319" t="s">
        <v>163</v>
      </c>
      <c r="C46" s="239" t="s">
        <v>157</v>
      </c>
      <c r="D46" s="194" t="s">
        <v>156</v>
      </c>
      <c r="E46" s="176" t="s">
        <v>1</v>
      </c>
      <c r="F46" s="176" t="s">
        <v>208</v>
      </c>
      <c r="G46" s="194" t="s">
        <v>192</v>
      </c>
      <c r="H46" s="194" t="s">
        <v>193</v>
      </c>
      <c r="I46" s="194" t="s">
        <v>229</v>
      </c>
      <c r="J46" s="180" t="s">
        <v>145</v>
      </c>
    </row>
    <row r="47" spans="1:12" s="174" customFormat="1" ht="35.25" customHeight="1" x14ac:dyDescent="0.25">
      <c r="A47" s="173"/>
      <c r="B47" s="320"/>
      <c r="C47" s="240" t="s">
        <v>147</v>
      </c>
      <c r="D47" s="182" t="s">
        <v>148</v>
      </c>
      <c r="E47" s="182">
        <v>1</v>
      </c>
      <c r="F47" s="219">
        <v>0.05</v>
      </c>
      <c r="G47" s="246">
        <f>VLOOKUP(D47,Hoja2!B:D,2,0)</f>
        <v>94900</v>
      </c>
      <c r="H47" s="196">
        <f>VLOOKUP(D47,Hoja2!B:D,3,0)</f>
        <v>2876000</v>
      </c>
      <c r="I47" s="185">
        <v>5</v>
      </c>
      <c r="J47" s="220">
        <f>+I47*H47*F47*E47</f>
        <v>719000</v>
      </c>
      <c r="L47" s="173"/>
    </row>
    <row r="48" spans="1:12" s="174" customFormat="1" ht="42.75" hidden="1" customHeight="1" x14ac:dyDescent="0.25">
      <c r="A48" s="173"/>
      <c r="B48" s="320"/>
      <c r="C48" s="240" t="s">
        <v>150</v>
      </c>
      <c r="D48" s="182" t="s">
        <v>151</v>
      </c>
      <c r="E48" s="182">
        <v>0</v>
      </c>
      <c r="F48" s="219">
        <v>0</v>
      </c>
      <c r="G48" s="246">
        <f>VLOOKUP(D48,Hoja2!B:D,2,0)</f>
        <v>148533</v>
      </c>
      <c r="H48" s="196">
        <f>VLOOKUP(D48,Hoja2!B:D,3,0)</f>
        <v>4485000</v>
      </c>
      <c r="I48" s="185">
        <v>5</v>
      </c>
      <c r="J48" s="220">
        <f t="shared" ref="J48:J53" si="2">+I48*H48*F48*E48</f>
        <v>0</v>
      </c>
      <c r="L48" s="173"/>
    </row>
    <row r="49" spans="1:12" s="174" customFormat="1" ht="35.25" customHeight="1" x14ac:dyDescent="0.25">
      <c r="A49" s="173"/>
      <c r="B49" s="320"/>
      <c r="C49" s="240" t="s">
        <v>66</v>
      </c>
      <c r="D49" s="182" t="s">
        <v>151</v>
      </c>
      <c r="E49" s="182">
        <v>1</v>
      </c>
      <c r="F49" s="219">
        <v>0.01</v>
      </c>
      <c r="G49" s="246">
        <f>VLOOKUP(D49,Hoja2!B:D,2,0)</f>
        <v>148533</v>
      </c>
      <c r="H49" s="196">
        <f>VLOOKUP(D49,Hoja2!B:D,3,0)</f>
        <v>4485000</v>
      </c>
      <c r="I49" s="185">
        <v>5</v>
      </c>
      <c r="J49" s="220">
        <f t="shared" si="2"/>
        <v>224250</v>
      </c>
      <c r="L49" s="173"/>
    </row>
    <row r="50" spans="1:12" s="174" customFormat="1" ht="35.25" hidden="1" customHeight="1" x14ac:dyDescent="0.25">
      <c r="A50" s="173"/>
      <c r="B50" s="320"/>
      <c r="C50" s="240" t="s">
        <v>67</v>
      </c>
      <c r="D50" s="182" t="s">
        <v>158</v>
      </c>
      <c r="E50" s="182">
        <v>0</v>
      </c>
      <c r="F50" s="219">
        <v>0</v>
      </c>
      <c r="G50" s="246">
        <f>VLOOKUP(D50,Hoja2!B:D,2,0)</f>
        <v>241000</v>
      </c>
      <c r="H50" s="196">
        <f>VLOOKUP(D50,Hoja2!B:D,3,0)</f>
        <v>7270000</v>
      </c>
      <c r="I50" s="185">
        <v>0</v>
      </c>
      <c r="J50" s="220">
        <f t="shared" si="2"/>
        <v>0</v>
      </c>
      <c r="L50" s="173"/>
    </row>
    <row r="51" spans="1:12" s="174" customFormat="1" ht="35.25" hidden="1" customHeight="1" x14ac:dyDescent="0.25">
      <c r="A51" s="173"/>
      <c r="B51" s="320"/>
      <c r="C51" s="241" t="s">
        <v>160</v>
      </c>
      <c r="D51" s="182" t="s">
        <v>159</v>
      </c>
      <c r="E51" s="182">
        <v>0</v>
      </c>
      <c r="F51" s="219">
        <v>0</v>
      </c>
      <c r="G51" s="246">
        <f>VLOOKUP(D51,Hoja2!B:D,2,0)</f>
        <v>329000</v>
      </c>
      <c r="H51" s="196">
        <f>VLOOKUP(D51,Hoja2!B:D,3,0)</f>
        <v>9897000</v>
      </c>
      <c r="I51" s="185">
        <v>0</v>
      </c>
      <c r="J51" s="220">
        <f t="shared" si="2"/>
        <v>0</v>
      </c>
      <c r="L51" s="173"/>
    </row>
    <row r="52" spans="1:12" s="174" customFormat="1" ht="35.25" hidden="1" customHeight="1" x14ac:dyDescent="0.25">
      <c r="A52" s="173"/>
      <c r="B52" s="320"/>
      <c r="C52" s="241" t="s">
        <v>161</v>
      </c>
      <c r="D52" s="182" t="s">
        <v>152</v>
      </c>
      <c r="E52" s="182">
        <v>0</v>
      </c>
      <c r="F52" s="219">
        <v>0</v>
      </c>
      <c r="G52" s="246">
        <f>VLOOKUP(D52,Hoja2!B:D,2,0)</f>
        <v>190900</v>
      </c>
      <c r="H52" s="196">
        <f>VLOOKUP(D52,Hoja2!B:D,3,0)</f>
        <v>5756000</v>
      </c>
      <c r="I52" s="185">
        <v>0</v>
      </c>
      <c r="J52" s="220">
        <f t="shared" si="2"/>
        <v>0</v>
      </c>
      <c r="L52" s="173"/>
    </row>
    <row r="53" spans="1:12" s="174" customFormat="1" ht="35.25" hidden="1" customHeight="1" x14ac:dyDescent="0.25">
      <c r="A53" s="173"/>
      <c r="B53" s="321"/>
      <c r="C53" s="241" t="s">
        <v>162</v>
      </c>
      <c r="D53" s="182" t="s">
        <v>159</v>
      </c>
      <c r="E53" s="182">
        <v>0</v>
      </c>
      <c r="F53" s="219">
        <v>0</v>
      </c>
      <c r="G53" s="246">
        <f>VLOOKUP(D53,Hoja2!B:D,2,0)</f>
        <v>329000</v>
      </c>
      <c r="H53" s="196">
        <f>VLOOKUP(D53,Hoja2!B:D,3,0)</f>
        <v>9897000</v>
      </c>
      <c r="I53" s="185">
        <v>0</v>
      </c>
      <c r="J53" s="220">
        <f t="shared" si="2"/>
        <v>0</v>
      </c>
      <c r="L53" s="173"/>
    </row>
    <row r="54" spans="1:12" ht="8.25" customHeight="1" x14ac:dyDescent="0.25"/>
    <row r="55" spans="1:12" ht="27.75" customHeight="1" x14ac:dyDescent="0.25">
      <c r="B55" s="223" t="s">
        <v>211</v>
      </c>
      <c r="C55" s="242"/>
      <c r="D55" s="225"/>
      <c r="E55" s="225"/>
      <c r="F55" s="225"/>
      <c r="G55" s="203"/>
      <c r="H55" s="203"/>
      <c r="I55" s="203"/>
      <c r="J55" s="224">
        <f>SUM(J47:J54)</f>
        <v>943250</v>
      </c>
    </row>
    <row r="56" spans="1:12" ht="16.5" customHeight="1" x14ac:dyDescent="0.25"/>
    <row r="57" spans="1:12" s="174" customFormat="1" ht="83.25" customHeight="1" x14ac:dyDescent="0.25">
      <c r="A57" s="173"/>
      <c r="B57" s="226" t="s">
        <v>212</v>
      </c>
      <c r="C57" s="243" t="s">
        <v>183</v>
      </c>
      <c r="D57" s="322" t="s">
        <v>184</v>
      </c>
      <c r="E57" s="322"/>
      <c r="F57" s="322"/>
      <c r="G57" s="322"/>
      <c r="H57" s="228">
        <v>0.01</v>
      </c>
      <c r="I57" s="228"/>
      <c r="J57" s="224">
        <f>+J44*H57</f>
        <v>1820124.33</v>
      </c>
      <c r="L57" s="173"/>
    </row>
    <row r="58" spans="1:12" s="174" customFormat="1" ht="23.25" customHeight="1" x14ac:dyDescent="0.25">
      <c r="A58" s="173"/>
      <c r="B58" s="173"/>
      <c r="C58" s="234"/>
      <c r="D58" s="173"/>
      <c r="E58" s="173"/>
      <c r="F58" s="173"/>
      <c r="G58" s="217"/>
      <c r="H58" s="217"/>
      <c r="I58" s="217"/>
      <c r="J58" s="218"/>
      <c r="L58" s="173"/>
    </row>
    <row r="59" spans="1:12" s="174" customFormat="1" ht="26.25" customHeight="1" x14ac:dyDescent="0.25">
      <c r="A59" s="173"/>
      <c r="B59" s="226" t="s">
        <v>213</v>
      </c>
      <c r="C59" s="243" t="s">
        <v>186</v>
      </c>
      <c r="D59" s="307"/>
      <c r="E59" s="308"/>
      <c r="F59" s="308"/>
      <c r="G59" s="308"/>
      <c r="H59" s="309"/>
      <c r="I59" s="232"/>
      <c r="J59" s="249">
        <v>0</v>
      </c>
      <c r="L59" s="173"/>
    </row>
    <row r="60" spans="1:12" s="174" customFormat="1" ht="28.5" customHeight="1" x14ac:dyDescent="0.25">
      <c r="A60" s="173"/>
      <c r="B60" s="211"/>
      <c r="C60" s="200"/>
      <c r="D60" s="200"/>
      <c r="E60" s="200"/>
      <c r="F60" s="200"/>
      <c r="G60" s="200"/>
      <c r="H60" s="212"/>
      <c r="I60" s="212"/>
      <c r="J60" s="213"/>
      <c r="L60" s="173"/>
    </row>
    <row r="61" spans="1:12" s="174" customFormat="1" ht="28.5" customHeight="1" x14ac:dyDescent="0.25">
      <c r="A61" s="173"/>
      <c r="B61" s="215" t="s">
        <v>209</v>
      </c>
      <c r="C61" s="310"/>
      <c r="D61" s="311"/>
      <c r="E61" s="311"/>
      <c r="F61" s="311"/>
      <c r="G61" s="311"/>
      <c r="H61" s="312"/>
      <c r="I61" s="222"/>
      <c r="J61" s="214">
        <f>+J59+J57+J55+J44</f>
        <v>184775807.33000001</v>
      </c>
      <c r="L61" s="173"/>
    </row>
    <row r="62" spans="1:12" s="174" customFormat="1" ht="28.5" customHeight="1" x14ac:dyDescent="0.25">
      <c r="A62" s="173"/>
      <c r="B62" s="216" t="s">
        <v>214</v>
      </c>
      <c r="C62" s="313"/>
      <c r="D62" s="314"/>
      <c r="E62" s="314"/>
      <c r="F62" s="314"/>
      <c r="G62" s="314"/>
      <c r="H62" s="315"/>
      <c r="I62" s="247">
        <v>0.19</v>
      </c>
      <c r="J62" s="214">
        <f>+I62*J61</f>
        <v>35107403.392700002</v>
      </c>
      <c r="L62" s="173"/>
    </row>
    <row r="63" spans="1:12" s="174" customFormat="1" ht="28.5" customHeight="1" x14ac:dyDescent="0.25">
      <c r="A63" s="173"/>
      <c r="B63" s="229" t="s">
        <v>215</v>
      </c>
      <c r="C63" s="316"/>
      <c r="D63" s="316"/>
      <c r="E63" s="316"/>
      <c r="F63" s="316"/>
      <c r="G63" s="316"/>
      <c r="H63" s="316"/>
      <c r="I63" s="233"/>
      <c r="J63" s="230">
        <f>ROUND(J62+J61,0)</f>
        <v>219883211</v>
      </c>
      <c r="L63" s="173"/>
    </row>
    <row r="64" spans="1:12" s="174" customFormat="1" ht="30.75" customHeight="1" x14ac:dyDescent="0.25">
      <c r="A64" s="173"/>
      <c r="B64" s="231" t="s">
        <v>180</v>
      </c>
      <c r="C64" s="234"/>
      <c r="D64" s="173"/>
      <c r="E64" s="173"/>
      <c r="F64" s="173"/>
      <c r="G64" s="175"/>
      <c r="H64" s="197"/>
      <c r="I64" s="197"/>
      <c r="J64" s="197"/>
      <c r="L64" s="173"/>
    </row>
    <row r="65" spans="1:12" s="174" customFormat="1" ht="24.75" customHeight="1" x14ac:dyDescent="0.25">
      <c r="A65" s="173"/>
      <c r="B65" s="231" t="s">
        <v>181</v>
      </c>
      <c r="C65" s="234"/>
      <c r="D65" s="173"/>
      <c r="E65" s="173"/>
      <c r="F65" s="173"/>
      <c r="G65" s="175"/>
      <c r="H65" s="197"/>
      <c r="I65" s="197"/>
      <c r="J65" s="197"/>
      <c r="L65" s="173"/>
    </row>
    <row r="66" spans="1:12" s="174" customFormat="1" ht="30" customHeight="1" x14ac:dyDescent="0.25">
      <c r="A66" s="173"/>
      <c r="B66" s="231" t="s">
        <v>188</v>
      </c>
      <c r="C66" s="234"/>
      <c r="D66" s="173"/>
      <c r="E66" s="173"/>
      <c r="F66" s="173"/>
      <c r="G66" s="175"/>
      <c r="H66" s="175"/>
      <c r="I66" s="175"/>
      <c r="J66" s="175"/>
      <c r="L66" s="173"/>
    </row>
    <row r="72" spans="1:12" ht="19.5" customHeight="1" x14ac:dyDescent="0.25">
      <c r="B72" s="200" t="s">
        <v>198</v>
      </c>
    </row>
    <row r="73" spans="1:12" ht="18" x14ac:dyDescent="0.25">
      <c r="B73" s="201"/>
    </row>
    <row r="74" spans="1:12" ht="18" customHeight="1" x14ac:dyDescent="0.25">
      <c r="B74" s="202"/>
    </row>
    <row r="75" spans="1:12" ht="18" x14ac:dyDescent="0.25">
      <c r="B75" s="202"/>
    </row>
    <row r="82" spans="4:8" x14ac:dyDescent="0.25">
      <c r="D82" s="173">
        <v>2038</v>
      </c>
      <c r="E82" s="173">
        <f>+D82/60</f>
        <v>33.966666666666669</v>
      </c>
      <c r="F82" s="173">
        <f>+E82/30</f>
        <v>1.1322222222222222</v>
      </c>
      <c r="G82" s="173">
        <f>+F82+1</f>
        <v>2.1322222222222225</v>
      </c>
      <c r="H82" s="175" t="s">
        <v>241</v>
      </c>
    </row>
  </sheetData>
  <protectedRanges>
    <protectedRange sqref="J10 J46" name="Rango1_4_1_2_1_1"/>
  </protectedRanges>
  <mergeCells count="10">
    <mergeCell ref="D59:H59"/>
    <mergeCell ref="C61:H61"/>
    <mergeCell ref="C62:H62"/>
    <mergeCell ref="C63:H63"/>
    <mergeCell ref="B5:J5"/>
    <mergeCell ref="B11:B13"/>
    <mergeCell ref="B14:B33"/>
    <mergeCell ref="B34:B42"/>
    <mergeCell ref="B46:B53"/>
    <mergeCell ref="D57:G57"/>
  </mergeCells>
  <printOptions horizontalCentered="1"/>
  <pageMargins left="0.54" right="0.28000000000000003" top="0.33" bottom="0.3" header="0.31496062992125984" footer="0.31496062992125984"/>
  <pageSetup scale="3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Hoja2!$J$14:$J$20</xm:f>
          </x14:formula1>
          <xm:sqref>D47:D53</xm:sqref>
        </x14:dataValidation>
        <x14:dataValidation type="list" allowBlank="1" showInputMessage="1" showErrorMessage="1" xr:uid="{00000000-0002-0000-0200-000001000000}">
          <x14:formula1>
            <xm:f>Hoja2!$I$14:$I$22</xm:f>
          </x14:formula1>
          <xm:sqref>D34:D43</xm:sqref>
        </x14:dataValidation>
        <x14:dataValidation type="list" allowBlank="1" showInputMessage="1" showErrorMessage="1" xr:uid="{00000000-0002-0000-0200-000002000000}">
          <x14:formula1>
            <xm:f>Hoja2!$H$14:$H$20</xm:f>
          </x14:formula1>
          <xm:sqref>D14:D33</xm:sqref>
        </x14:dataValidation>
        <x14:dataValidation type="list" allowBlank="1" showInputMessage="1" showErrorMessage="1" xr:uid="{00000000-0002-0000-0200-000003000000}">
          <x14:formula1>
            <xm:f>Hoja2!$G$14:$G$16</xm:f>
          </x14:formula1>
          <xm:sqref>D11:D13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5:L80"/>
  <sheetViews>
    <sheetView view="pageBreakPreview" topLeftCell="C54" zoomScale="70" zoomScaleNormal="85" zoomScaleSheetLayoutView="70" workbookViewId="0">
      <pane ySplit="6105" topLeftCell="A33"/>
      <selection activeCell="H58" sqref="H58"/>
      <selection pane="bottomLeft" activeCell="H58" sqref="H58"/>
    </sheetView>
  </sheetViews>
  <sheetFormatPr baseColWidth="10" defaultColWidth="11.42578125" defaultRowHeight="15" x14ac:dyDescent="0.25"/>
  <cols>
    <col min="1" max="1" width="4" style="173" customWidth="1"/>
    <col min="2" max="2" width="48.5703125" style="173" customWidth="1"/>
    <col min="3" max="3" width="60.5703125" style="173" customWidth="1"/>
    <col min="4" max="4" width="17.5703125" style="173" bestFit="1" customWidth="1"/>
    <col min="5" max="5" width="13.42578125" style="173" bestFit="1" customWidth="1"/>
    <col min="6" max="6" width="20" style="173" bestFit="1" customWidth="1"/>
    <col min="7" max="7" width="24.85546875" style="175" customWidth="1"/>
    <col min="8" max="8" width="24" style="175" customWidth="1"/>
    <col min="9" max="9" width="25.5703125" style="175" customWidth="1"/>
    <col min="10" max="10" width="31.42578125" style="175" customWidth="1"/>
    <col min="11" max="11" width="11.42578125" style="174"/>
    <col min="12" max="12" width="15.5703125" style="173" bestFit="1" customWidth="1"/>
    <col min="13" max="16384" width="11.42578125" style="173"/>
  </cols>
  <sheetData>
    <row r="5" spans="2:10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  <c r="J5" s="317"/>
    </row>
    <row r="7" spans="2:10" ht="33" customHeight="1" x14ac:dyDescent="0.25">
      <c r="B7" s="231" t="s">
        <v>237</v>
      </c>
    </row>
    <row r="10" spans="2:10" ht="72" customHeight="1" x14ac:dyDescent="0.25">
      <c r="B10" s="221" t="s">
        <v>142</v>
      </c>
      <c r="C10" s="176" t="s">
        <v>144</v>
      </c>
      <c r="D10" s="176" t="s">
        <v>143</v>
      </c>
      <c r="E10" s="176" t="s">
        <v>1</v>
      </c>
      <c r="F10" s="176" t="s">
        <v>208</v>
      </c>
      <c r="G10" s="199" t="s">
        <v>191</v>
      </c>
      <c r="H10" s="179" t="s">
        <v>146</v>
      </c>
      <c r="I10" s="199" t="s">
        <v>229</v>
      </c>
      <c r="J10" s="180" t="s">
        <v>145</v>
      </c>
    </row>
    <row r="11" spans="2:10" ht="50.25" customHeight="1" x14ac:dyDescent="0.25">
      <c r="B11" s="318" t="s">
        <v>138</v>
      </c>
      <c r="C11" s="181" t="s">
        <v>200</v>
      </c>
      <c r="D11" s="182" t="s">
        <v>165</v>
      </c>
      <c r="E11" s="182">
        <v>1</v>
      </c>
      <c r="F11" s="219">
        <v>0.5</v>
      </c>
      <c r="G11" s="196">
        <f>VLOOKUP(D11,Hoja2!B:D,3,0)</f>
        <v>5862000</v>
      </c>
      <c r="H11" s="245">
        <v>2.19</v>
      </c>
      <c r="I11" s="245">
        <v>9</v>
      </c>
      <c r="J11" s="186">
        <f>+I11*H11*G11*F11*E11</f>
        <v>57770010</v>
      </c>
    </row>
    <row r="12" spans="2:10" ht="36.75" hidden="1" customHeight="1" x14ac:dyDescent="0.25">
      <c r="B12" s="318"/>
      <c r="C12" s="181" t="s">
        <v>200</v>
      </c>
      <c r="D12" s="182" t="s">
        <v>165</v>
      </c>
      <c r="E12" s="182">
        <v>0</v>
      </c>
      <c r="F12" s="219"/>
      <c r="G12" s="196">
        <f>VLOOKUP(D12,Hoja2!B:D,3,0)</f>
        <v>5862000</v>
      </c>
      <c r="H12" s="245">
        <f>+$H$11</f>
        <v>2.19</v>
      </c>
      <c r="I12" s="245"/>
      <c r="J12" s="186">
        <f t="shared" ref="J12:J42" si="0">+I12*H12*G12*F12*E12</f>
        <v>0</v>
      </c>
    </row>
    <row r="13" spans="2:10" ht="41.25" hidden="1" customHeight="1" x14ac:dyDescent="0.25">
      <c r="B13" s="318"/>
      <c r="C13" s="181" t="s">
        <v>200</v>
      </c>
      <c r="D13" s="182" t="s">
        <v>166</v>
      </c>
      <c r="E13" s="182">
        <v>0</v>
      </c>
      <c r="F13" s="219"/>
      <c r="G13" s="196">
        <f>VLOOKUP(D13,Hoja2!B:D,3,0)</f>
        <v>4992000</v>
      </c>
      <c r="H13" s="245">
        <f t="shared" ref="H13:H42" si="1">+$H$11</f>
        <v>2.19</v>
      </c>
      <c r="I13" s="245"/>
      <c r="J13" s="186">
        <f t="shared" si="0"/>
        <v>0</v>
      </c>
    </row>
    <row r="14" spans="2:10" ht="62.25" hidden="1" customHeight="1" x14ac:dyDescent="0.25">
      <c r="B14" s="318" t="s">
        <v>68</v>
      </c>
      <c r="C14" s="181" t="s">
        <v>201</v>
      </c>
      <c r="D14" s="182" t="s">
        <v>164</v>
      </c>
      <c r="E14" s="182">
        <v>0</v>
      </c>
      <c r="F14" s="219"/>
      <c r="G14" s="196">
        <f>VLOOKUP(D14,Hoja2!B:D,3,0)</f>
        <v>6946000</v>
      </c>
      <c r="H14" s="245">
        <f t="shared" si="1"/>
        <v>2.19</v>
      </c>
      <c r="I14" s="245">
        <v>0</v>
      </c>
      <c r="J14" s="186">
        <f t="shared" si="0"/>
        <v>0</v>
      </c>
    </row>
    <row r="15" spans="2:10" ht="41.25" hidden="1" customHeight="1" x14ac:dyDescent="0.25">
      <c r="B15" s="318"/>
      <c r="C15" s="181" t="s">
        <v>202</v>
      </c>
      <c r="D15" s="182" t="s">
        <v>165</v>
      </c>
      <c r="E15" s="182">
        <v>0</v>
      </c>
      <c r="F15" s="219"/>
      <c r="G15" s="196">
        <f>VLOOKUP(D15,Hoja2!B:D,3,0)</f>
        <v>5862000</v>
      </c>
      <c r="H15" s="245">
        <f t="shared" si="1"/>
        <v>2.19</v>
      </c>
      <c r="I15" s="245">
        <v>0</v>
      </c>
      <c r="J15" s="186">
        <f t="shared" si="0"/>
        <v>0</v>
      </c>
    </row>
    <row r="16" spans="2:10" ht="41.25" customHeight="1" x14ac:dyDescent="0.25">
      <c r="B16" s="318"/>
      <c r="C16" s="181" t="s">
        <v>203</v>
      </c>
      <c r="D16" s="182" t="s">
        <v>167</v>
      </c>
      <c r="E16" s="182">
        <v>1</v>
      </c>
      <c r="F16" s="219">
        <v>0.2</v>
      </c>
      <c r="G16" s="196">
        <f>VLOOKUP(D16,Hoja2!B:D,3,0)</f>
        <v>4501000</v>
      </c>
      <c r="H16" s="245">
        <f t="shared" si="1"/>
        <v>2.19</v>
      </c>
      <c r="I16" s="245">
        <v>8</v>
      </c>
      <c r="J16" s="186">
        <f t="shared" si="0"/>
        <v>15771504</v>
      </c>
    </row>
    <row r="17" spans="2:10" ht="41.25" customHeight="1" x14ac:dyDescent="0.25">
      <c r="B17" s="318"/>
      <c r="C17" s="181" t="s">
        <v>204</v>
      </c>
      <c r="D17" s="182" t="s">
        <v>167</v>
      </c>
      <c r="E17" s="182">
        <v>1</v>
      </c>
      <c r="F17" s="219">
        <v>0.2</v>
      </c>
      <c r="G17" s="196">
        <f>VLOOKUP(D17,Hoja2!B:D,3,0)</f>
        <v>4501000</v>
      </c>
      <c r="H17" s="245">
        <f t="shared" si="1"/>
        <v>2.19</v>
      </c>
      <c r="I17" s="245">
        <v>8</v>
      </c>
      <c r="J17" s="186">
        <f t="shared" si="0"/>
        <v>15771504</v>
      </c>
    </row>
    <row r="18" spans="2:10" ht="46.5" customHeight="1" x14ac:dyDescent="0.25">
      <c r="B18" s="318"/>
      <c r="C18" s="181" t="s">
        <v>205</v>
      </c>
      <c r="D18" s="182" t="s">
        <v>167</v>
      </c>
      <c r="E18" s="182">
        <v>1</v>
      </c>
      <c r="F18" s="219">
        <v>0.2</v>
      </c>
      <c r="G18" s="196">
        <f>VLOOKUP(D18,Hoja2!B:D,3,0)</f>
        <v>4501000</v>
      </c>
      <c r="H18" s="245">
        <f t="shared" si="1"/>
        <v>2.19</v>
      </c>
      <c r="I18" s="245">
        <v>8</v>
      </c>
      <c r="J18" s="186">
        <f t="shared" si="0"/>
        <v>15771504</v>
      </c>
    </row>
    <row r="19" spans="2:10" ht="41.25" customHeight="1" x14ac:dyDescent="0.25">
      <c r="B19" s="318"/>
      <c r="C19" s="181" t="s">
        <v>206</v>
      </c>
      <c r="D19" s="182" t="s">
        <v>167</v>
      </c>
      <c r="E19" s="182">
        <v>1</v>
      </c>
      <c r="F19" s="219">
        <v>0.2</v>
      </c>
      <c r="G19" s="196">
        <f>VLOOKUP(D19,Hoja2!B:D,3,0)</f>
        <v>4501000</v>
      </c>
      <c r="H19" s="245">
        <f t="shared" si="1"/>
        <v>2.19</v>
      </c>
      <c r="I19" s="245">
        <v>8</v>
      </c>
      <c r="J19" s="186">
        <f t="shared" si="0"/>
        <v>15771504</v>
      </c>
    </row>
    <row r="20" spans="2:10" ht="41.25" customHeight="1" x14ac:dyDescent="0.25">
      <c r="B20" s="318"/>
      <c r="C20" s="181" t="s">
        <v>207</v>
      </c>
      <c r="D20" s="182" t="s">
        <v>167</v>
      </c>
      <c r="E20" s="182">
        <v>1</v>
      </c>
      <c r="F20" s="219">
        <v>0.2</v>
      </c>
      <c r="G20" s="196">
        <f>VLOOKUP(D20,Hoja2!B:D,3,0)</f>
        <v>4501000</v>
      </c>
      <c r="H20" s="245">
        <f t="shared" si="1"/>
        <v>2.19</v>
      </c>
      <c r="I20" s="245">
        <v>8</v>
      </c>
      <c r="J20" s="186">
        <f t="shared" si="0"/>
        <v>15771504</v>
      </c>
    </row>
    <row r="21" spans="2:10" ht="41.25" hidden="1" customHeight="1" x14ac:dyDescent="0.25">
      <c r="B21" s="318"/>
      <c r="C21" s="235" t="s">
        <v>217</v>
      </c>
      <c r="D21" s="182" t="s">
        <v>167</v>
      </c>
      <c r="E21" s="182">
        <v>0</v>
      </c>
      <c r="F21" s="219"/>
      <c r="G21" s="196">
        <f>VLOOKUP(D21,Hoja2!B:D,3,0)</f>
        <v>4501000</v>
      </c>
      <c r="H21" s="245">
        <f t="shared" si="1"/>
        <v>2.19</v>
      </c>
      <c r="I21" s="245">
        <v>0</v>
      </c>
      <c r="J21" s="186">
        <f t="shared" si="0"/>
        <v>0</v>
      </c>
    </row>
    <row r="22" spans="2:10" ht="41.25" hidden="1" customHeight="1" x14ac:dyDescent="0.25">
      <c r="B22" s="318"/>
      <c r="C22" s="235" t="s">
        <v>218</v>
      </c>
      <c r="D22" s="182" t="s">
        <v>166</v>
      </c>
      <c r="E22" s="182">
        <v>0</v>
      </c>
      <c r="F22" s="219"/>
      <c r="G22" s="196">
        <f>VLOOKUP(D22,Hoja2!B:D,3,0)</f>
        <v>4992000</v>
      </c>
      <c r="H22" s="245">
        <f t="shared" si="1"/>
        <v>2.19</v>
      </c>
      <c r="I22" s="245">
        <v>0</v>
      </c>
      <c r="J22" s="186">
        <f t="shared" si="0"/>
        <v>0</v>
      </c>
    </row>
    <row r="23" spans="2:10" ht="41.25" customHeight="1" x14ac:dyDescent="0.25">
      <c r="B23" s="318"/>
      <c r="C23" s="235" t="s">
        <v>219</v>
      </c>
      <c r="D23" s="182" t="s">
        <v>167</v>
      </c>
      <c r="E23" s="182">
        <v>1</v>
      </c>
      <c r="F23" s="219">
        <v>0.2</v>
      </c>
      <c r="G23" s="196">
        <f>VLOOKUP(D23,Hoja2!B:D,3,0)</f>
        <v>4501000</v>
      </c>
      <c r="H23" s="245">
        <f t="shared" si="1"/>
        <v>2.19</v>
      </c>
      <c r="I23" s="245">
        <v>8</v>
      </c>
      <c r="J23" s="186">
        <f t="shared" si="0"/>
        <v>15771504</v>
      </c>
    </row>
    <row r="24" spans="2:10" ht="41.25" hidden="1" customHeight="1" x14ac:dyDescent="0.25">
      <c r="B24" s="318"/>
      <c r="C24" s="235" t="s">
        <v>220</v>
      </c>
      <c r="D24" s="182" t="s">
        <v>165</v>
      </c>
      <c r="E24" s="182">
        <v>0</v>
      </c>
      <c r="F24" s="219"/>
      <c r="G24" s="196">
        <f>VLOOKUP(D24,Hoja2!B:D,3,0)</f>
        <v>5862000</v>
      </c>
      <c r="H24" s="245">
        <f t="shared" si="1"/>
        <v>2.19</v>
      </c>
      <c r="I24" s="245">
        <v>0</v>
      </c>
      <c r="J24" s="186">
        <f t="shared" si="0"/>
        <v>0</v>
      </c>
    </row>
    <row r="25" spans="2:10" ht="41.25" customHeight="1" x14ac:dyDescent="0.25">
      <c r="B25" s="318"/>
      <c r="C25" s="235" t="s">
        <v>228</v>
      </c>
      <c r="D25" s="182" t="s">
        <v>167</v>
      </c>
      <c r="E25" s="182">
        <v>1</v>
      </c>
      <c r="F25" s="219">
        <v>0.05</v>
      </c>
      <c r="G25" s="196">
        <f>VLOOKUP(D25,Hoja2!B:D,3,0)</f>
        <v>4501000</v>
      </c>
      <c r="H25" s="245">
        <f t="shared" si="1"/>
        <v>2.19</v>
      </c>
      <c r="I25" s="245">
        <v>8</v>
      </c>
      <c r="J25" s="186">
        <f t="shared" si="0"/>
        <v>3942876</v>
      </c>
    </row>
    <row r="26" spans="2:10" ht="41.25" customHeight="1" x14ac:dyDescent="0.25">
      <c r="B26" s="318"/>
      <c r="C26" s="235" t="s">
        <v>221</v>
      </c>
      <c r="D26" s="182" t="s">
        <v>167</v>
      </c>
      <c r="E26" s="182">
        <v>1</v>
      </c>
      <c r="F26" s="219">
        <v>1</v>
      </c>
      <c r="G26" s="196">
        <f>VLOOKUP(D26,Hoja2!B:D,3,0)</f>
        <v>4501000</v>
      </c>
      <c r="H26" s="245">
        <f t="shared" si="1"/>
        <v>2.19</v>
      </c>
      <c r="I26" s="245">
        <v>9</v>
      </c>
      <c r="J26" s="186">
        <f t="shared" si="0"/>
        <v>88714710</v>
      </c>
    </row>
    <row r="27" spans="2:10" ht="41.25" customHeight="1" x14ac:dyDescent="0.25">
      <c r="B27" s="318"/>
      <c r="C27" s="235" t="s">
        <v>222</v>
      </c>
      <c r="D27" s="182" t="s">
        <v>167</v>
      </c>
      <c r="E27" s="182">
        <v>1</v>
      </c>
      <c r="F27" s="219">
        <v>1</v>
      </c>
      <c r="G27" s="196">
        <f>VLOOKUP(D27,Hoja2!B:D,3,0)</f>
        <v>4501000</v>
      </c>
      <c r="H27" s="245">
        <f t="shared" si="1"/>
        <v>2.19</v>
      </c>
      <c r="I27" s="245">
        <v>8</v>
      </c>
      <c r="J27" s="186">
        <f t="shared" si="0"/>
        <v>78857520</v>
      </c>
    </row>
    <row r="28" spans="2:10" ht="41.25" hidden="1" customHeight="1" x14ac:dyDescent="0.25">
      <c r="B28" s="318"/>
      <c r="C28" s="235" t="s">
        <v>223</v>
      </c>
      <c r="D28" s="182" t="s">
        <v>167</v>
      </c>
      <c r="E28" s="182">
        <v>0</v>
      </c>
      <c r="F28" s="219">
        <v>0</v>
      </c>
      <c r="G28" s="196">
        <f>VLOOKUP(D28,Hoja2!B:D,3,0)</f>
        <v>4501000</v>
      </c>
      <c r="H28" s="245">
        <f t="shared" si="1"/>
        <v>2.19</v>
      </c>
      <c r="I28" s="245">
        <v>0</v>
      </c>
      <c r="J28" s="186">
        <f t="shared" si="0"/>
        <v>0</v>
      </c>
    </row>
    <row r="29" spans="2:10" ht="41.25" hidden="1" customHeight="1" x14ac:dyDescent="0.25">
      <c r="B29" s="318"/>
      <c r="C29" s="235" t="s">
        <v>224</v>
      </c>
      <c r="D29" s="182" t="s">
        <v>165</v>
      </c>
      <c r="E29" s="182">
        <v>0</v>
      </c>
      <c r="F29" s="219">
        <v>0</v>
      </c>
      <c r="G29" s="196">
        <f>VLOOKUP(D29,Hoja2!B:D,3,0)</f>
        <v>5862000</v>
      </c>
      <c r="H29" s="245">
        <f t="shared" si="1"/>
        <v>2.19</v>
      </c>
      <c r="I29" s="245">
        <v>0</v>
      </c>
      <c r="J29" s="186">
        <f t="shared" si="0"/>
        <v>0</v>
      </c>
    </row>
    <row r="30" spans="2:10" ht="41.25" hidden="1" customHeight="1" x14ac:dyDescent="0.25">
      <c r="B30" s="318"/>
      <c r="C30" s="235" t="s">
        <v>225</v>
      </c>
      <c r="D30" s="182" t="s">
        <v>165</v>
      </c>
      <c r="E30" s="182">
        <v>0</v>
      </c>
      <c r="F30" s="219">
        <v>0</v>
      </c>
      <c r="G30" s="196">
        <f>VLOOKUP(D30,Hoja2!B:D,3,0)</f>
        <v>5862000</v>
      </c>
      <c r="H30" s="245">
        <f t="shared" si="1"/>
        <v>2.19</v>
      </c>
      <c r="I30" s="245">
        <v>0</v>
      </c>
      <c r="J30" s="186">
        <f t="shared" si="0"/>
        <v>0</v>
      </c>
    </row>
    <row r="31" spans="2:10" ht="41.25" customHeight="1" x14ac:dyDescent="0.25">
      <c r="B31" s="318"/>
      <c r="C31" s="235" t="s">
        <v>230</v>
      </c>
      <c r="D31" s="182" t="s">
        <v>137</v>
      </c>
      <c r="E31" s="182">
        <v>1</v>
      </c>
      <c r="F31" s="219">
        <v>1</v>
      </c>
      <c r="G31" s="196">
        <f>VLOOKUP(D31,Hoja2!B:D,3,0)</f>
        <v>2864000</v>
      </c>
      <c r="H31" s="245">
        <f t="shared" si="1"/>
        <v>2.19</v>
      </c>
      <c r="I31" s="245">
        <v>8</v>
      </c>
      <c r="J31" s="186">
        <f t="shared" si="0"/>
        <v>50177280</v>
      </c>
    </row>
    <row r="32" spans="2:10" ht="41.25" hidden="1" customHeight="1" x14ac:dyDescent="0.25">
      <c r="B32" s="318"/>
      <c r="C32" s="235" t="s">
        <v>226</v>
      </c>
      <c r="D32" s="182" t="s">
        <v>168</v>
      </c>
      <c r="E32" s="182">
        <v>0</v>
      </c>
      <c r="F32" s="219">
        <v>0</v>
      </c>
      <c r="G32" s="196">
        <f>VLOOKUP(D32,Hoja2!B:D,3,0)</f>
        <v>4014000</v>
      </c>
      <c r="H32" s="245">
        <f t="shared" si="1"/>
        <v>2.19</v>
      </c>
      <c r="I32" s="245">
        <v>0</v>
      </c>
      <c r="J32" s="186">
        <f t="shared" si="0"/>
        <v>0</v>
      </c>
    </row>
    <row r="33" spans="1:12" ht="41.25" customHeight="1" x14ac:dyDescent="0.25">
      <c r="B33" s="318"/>
      <c r="C33" s="235" t="s">
        <v>227</v>
      </c>
      <c r="D33" s="182" t="s">
        <v>167</v>
      </c>
      <c r="E33" s="182">
        <v>1</v>
      </c>
      <c r="F33" s="219">
        <v>0.3</v>
      </c>
      <c r="G33" s="196">
        <f>VLOOKUP(D33,Hoja2!B:D,3,0)</f>
        <v>4501000</v>
      </c>
      <c r="H33" s="245">
        <f t="shared" si="1"/>
        <v>2.19</v>
      </c>
      <c r="I33" s="245">
        <v>8</v>
      </c>
      <c r="J33" s="186">
        <f t="shared" si="0"/>
        <v>23657256</v>
      </c>
    </row>
    <row r="34" spans="1:12" ht="41.1" customHeight="1" x14ac:dyDescent="0.25">
      <c r="B34" s="319" t="s">
        <v>140</v>
      </c>
      <c r="C34" s="181" t="s">
        <v>136</v>
      </c>
      <c r="D34" s="182" t="s">
        <v>170</v>
      </c>
      <c r="E34" s="182">
        <v>1</v>
      </c>
      <c r="F34" s="219">
        <v>0.1</v>
      </c>
      <c r="G34" s="198">
        <f>VLOOKUP(D34,Hoja2!B:D,3,0)</f>
        <v>2165000</v>
      </c>
      <c r="H34" s="245">
        <f t="shared" si="1"/>
        <v>2.19</v>
      </c>
      <c r="I34" s="245">
        <v>8</v>
      </c>
      <c r="J34" s="186">
        <f t="shared" si="0"/>
        <v>3793080</v>
      </c>
    </row>
    <row r="35" spans="1:12" ht="41.1" hidden="1" customHeight="1" x14ac:dyDescent="0.25">
      <c r="B35" s="320"/>
      <c r="C35" s="181" t="s">
        <v>72</v>
      </c>
      <c r="D35" s="182" t="s">
        <v>171</v>
      </c>
      <c r="E35" s="182">
        <v>0</v>
      </c>
      <c r="F35" s="219">
        <v>1</v>
      </c>
      <c r="G35" s="198">
        <f>VLOOKUP(D35,Hoja2!B:D,3,0)</f>
        <v>2078000</v>
      </c>
      <c r="H35" s="245">
        <f t="shared" si="1"/>
        <v>2.19</v>
      </c>
      <c r="I35" s="245">
        <v>0</v>
      </c>
      <c r="J35" s="186">
        <f t="shared" si="0"/>
        <v>0</v>
      </c>
    </row>
    <row r="36" spans="1:12" ht="41.1" hidden="1" customHeight="1" x14ac:dyDescent="0.25">
      <c r="B36" s="320"/>
      <c r="C36" s="181" t="s">
        <v>135</v>
      </c>
      <c r="D36" s="182" t="s">
        <v>172</v>
      </c>
      <c r="E36" s="182">
        <v>0</v>
      </c>
      <c r="F36" s="219">
        <v>0</v>
      </c>
      <c r="G36" s="198">
        <f>VLOOKUP(D36,Hoja2!B:D,3,0)</f>
        <v>1916000</v>
      </c>
      <c r="H36" s="245">
        <f t="shared" si="1"/>
        <v>2.19</v>
      </c>
      <c r="I36" s="245">
        <v>0</v>
      </c>
      <c r="J36" s="186">
        <f t="shared" si="0"/>
        <v>0</v>
      </c>
    </row>
    <row r="37" spans="1:12" ht="41.1" hidden="1" customHeight="1" x14ac:dyDescent="0.25">
      <c r="B37" s="320"/>
      <c r="C37" s="181" t="s">
        <v>73</v>
      </c>
      <c r="D37" s="182" t="s">
        <v>173</v>
      </c>
      <c r="E37" s="182">
        <v>0</v>
      </c>
      <c r="F37" s="219">
        <v>0</v>
      </c>
      <c r="G37" s="198">
        <f>VLOOKUP(D37,Hoja2!B:D,3,0)</f>
        <v>1827000</v>
      </c>
      <c r="H37" s="245">
        <f t="shared" si="1"/>
        <v>2.19</v>
      </c>
      <c r="I37" s="245">
        <v>0</v>
      </c>
      <c r="J37" s="186">
        <f t="shared" si="0"/>
        <v>0</v>
      </c>
    </row>
    <row r="38" spans="1:12" ht="41.1" hidden="1" customHeight="1" x14ac:dyDescent="0.25">
      <c r="B38" s="320"/>
      <c r="C38" s="181" t="s">
        <v>75</v>
      </c>
      <c r="D38" s="182" t="s">
        <v>174</v>
      </c>
      <c r="E38" s="182">
        <v>0</v>
      </c>
      <c r="F38" s="219"/>
      <c r="G38" s="198">
        <f>VLOOKUP(D38,Hoja2!B:D,3,0)</f>
        <v>1777000</v>
      </c>
      <c r="H38" s="245">
        <f t="shared" si="1"/>
        <v>2.19</v>
      </c>
      <c r="I38" s="245">
        <v>0</v>
      </c>
      <c r="J38" s="186">
        <f t="shared" si="0"/>
        <v>0</v>
      </c>
    </row>
    <row r="39" spans="1:12" ht="41.1" hidden="1" customHeight="1" x14ac:dyDescent="0.25">
      <c r="B39" s="320"/>
      <c r="C39" s="181" t="s">
        <v>134</v>
      </c>
      <c r="D39" s="182" t="s">
        <v>175</v>
      </c>
      <c r="E39" s="182">
        <v>0</v>
      </c>
      <c r="F39" s="219"/>
      <c r="G39" s="198">
        <f>VLOOKUP(D39,Hoja2!B:D,3,0)</f>
        <v>1576000</v>
      </c>
      <c r="H39" s="245">
        <f t="shared" si="1"/>
        <v>2.19</v>
      </c>
      <c r="I39" s="245">
        <v>0</v>
      </c>
      <c r="J39" s="186">
        <f t="shared" si="0"/>
        <v>0</v>
      </c>
    </row>
    <row r="40" spans="1:12" ht="41.1" customHeight="1" x14ac:dyDescent="0.25">
      <c r="B40" s="320"/>
      <c r="C40" s="181" t="s">
        <v>74</v>
      </c>
      <c r="D40" s="182" t="s">
        <v>176</v>
      </c>
      <c r="E40" s="182">
        <v>1</v>
      </c>
      <c r="F40" s="219">
        <v>1</v>
      </c>
      <c r="G40" s="198">
        <f>VLOOKUP(D40,Hoja2!B:D,3,0)</f>
        <v>1548000</v>
      </c>
      <c r="H40" s="245">
        <f t="shared" si="1"/>
        <v>2.19</v>
      </c>
      <c r="I40" s="245">
        <v>8</v>
      </c>
      <c r="J40" s="186">
        <f t="shared" si="0"/>
        <v>27120960</v>
      </c>
    </row>
    <row r="41" spans="1:12" ht="41.1" hidden="1" customHeight="1" x14ac:dyDescent="0.25">
      <c r="B41" s="320"/>
      <c r="C41" s="181" t="s">
        <v>77</v>
      </c>
      <c r="D41" s="182" t="s">
        <v>176</v>
      </c>
      <c r="E41" s="182">
        <v>0</v>
      </c>
      <c r="F41" s="219"/>
      <c r="G41" s="198">
        <f>VLOOKUP(D41,Hoja2!B:D,3,0)</f>
        <v>1548000</v>
      </c>
      <c r="H41" s="245">
        <f t="shared" si="1"/>
        <v>2.19</v>
      </c>
      <c r="I41" s="245">
        <v>0</v>
      </c>
      <c r="J41" s="186">
        <f t="shared" si="0"/>
        <v>0</v>
      </c>
    </row>
    <row r="42" spans="1:12" ht="41.1" customHeight="1" x14ac:dyDescent="0.25">
      <c r="B42" s="321"/>
      <c r="C42" s="181" t="s">
        <v>179</v>
      </c>
      <c r="D42" s="182" t="s">
        <v>178</v>
      </c>
      <c r="E42" s="182">
        <v>1</v>
      </c>
      <c r="F42" s="219">
        <v>0.1</v>
      </c>
      <c r="G42" s="198">
        <f>VLOOKUP(D42,Hoja2!B:D,3,0)</f>
        <v>1343000</v>
      </c>
      <c r="H42" s="245">
        <f t="shared" si="1"/>
        <v>2.19</v>
      </c>
      <c r="I42" s="245">
        <v>9</v>
      </c>
      <c r="J42" s="186">
        <f t="shared" si="0"/>
        <v>2647053</v>
      </c>
    </row>
    <row r="43" spans="1:12" ht="12.75" customHeight="1" x14ac:dyDescent="0.25">
      <c r="B43" s="207"/>
      <c r="D43" s="205"/>
      <c r="E43" s="205"/>
      <c r="F43" s="205"/>
      <c r="G43" s="208"/>
      <c r="H43" s="209"/>
      <c r="I43" s="209"/>
      <c r="J43" s="210"/>
    </row>
    <row r="44" spans="1:12" ht="33.75" customHeight="1" x14ac:dyDescent="0.25">
      <c r="B44" s="223" t="s">
        <v>210</v>
      </c>
      <c r="C44" s="223"/>
      <c r="D44" s="223"/>
      <c r="E44" s="223"/>
      <c r="F44" s="223"/>
      <c r="G44" s="224"/>
      <c r="H44" s="224"/>
      <c r="I44" s="224"/>
      <c r="J44" s="224">
        <f>SUM(J11:J43)</f>
        <v>431309769</v>
      </c>
    </row>
    <row r="45" spans="1:12" ht="9" customHeight="1" x14ac:dyDescent="0.25"/>
    <row r="46" spans="1:12" ht="44.25" customHeight="1" x14ac:dyDescent="0.25">
      <c r="B46" s="319" t="s">
        <v>163</v>
      </c>
      <c r="C46" s="194" t="s">
        <v>157</v>
      </c>
      <c r="D46" s="194" t="s">
        <v>156</v>
      </c>
      <c r="E46" s="176" t="s">
        <v>1</v>
      </c>
      <c r="F46" s="176" t="s">
        <v>233</v>
      </c>
      <c r="G46" s="194" t="s">
        <v>192</v>
      </c>
      <c r="H46" s="194" t="s">
        <v>193</v>
      </c>
      <c r="I46" s="194" t="s">
        <v>216</v>
      </c>
      <c r="J46" s="180" t="s">
        <v>145</v>
      </c>
    </row>
    <row r="47" spans="1:12" s="174" customFormat="1" ht="35.25" customHeight="1" x14ac:dyDescent="0.25">
      <c r="A47" s="173"/>
      <c r="B47" s="320"/>
      <c r="C47" s="189" t="s">
        <v>147</v>
      </c>
      <c r="D47" s="182" t="s">
        <v>148</v>
      </c>
      <c r="E47" s="182">
        <v>1</v>
      </c>
      <c r="F47" s="219">
        <v>0.1</v>
      </c>
      <c r="G47" s="246">
        <f>VLOOKUP(D47,Hoja2!B:D,2,0)</f>
        <v>94900</v>
      </c>
      <c r="H47" s="196">
        <f>VLOOKUP(D47,Hoja2!B:D,3,0)</f>
        <v>2876000</v>
      </c>
      <c r="I47" s="185">
        <v>8</v>
      </c>
      <c r="J47" s="220">
        <f>+I47*H47*F47*E47</f>
        <v>2300800</v>
      </c>
      <c r="L47" s="173"/>
    </row>
    <row r="48" spans="1:12" s="174" customFormat="1" ht="42.75" hidden="1" customHeight="1" x14ac:dyDescent="0.25">
      <c r="A48" s="173"/>
      <c r="B48" s="320"/>
      <c r="C48" s="189" t="s">
        <v>150</v>
      </c>
      <c r="D48" s="182" t="s">
        <v>151</v>
      </c>
      <c r="E48" s="182">
        <v>1</v>
      </c>
      <c r="F48" s="219">
        <v>0</v>
      </c>
      <c r="G48" s="246">
        <f>VLOOKUP(D48,Hoja2!B:D,2,0)</f>
        <v>148533</v>
      </c>
      <c r="H48" s="196">
        <f>VLOOKUP(D48,Hoja2!B:D,3,0)</f>
        <v>4485000</v>
      </c>
      <c r="I48" s="185">
        <v>8</v>
      </c>
      <c r="J48" s="220">
        <f t="shared" ref="J48:J53" si="2">+I48*H48*F48*E48</f>
        <v>0</v>
      </c>
      <c r="L48" s="173"/>
    </row>
    <row r="49" spans="1:12" s="174" customFormat="1" ht="35.25" customHeight="1" x14ac:dyDescent="0.25">
      <c r="A49" s="173"/>
      <c r="B49" s="320"/>
      <c r="C49" s="189" t="s">
        <v>66</v>
      </c>
      <c r="D49" s="182" t="s">
        <v>151</v>
      </c>
      <c r="E49" s="182">
        <v>1</v>
      </c>
      <c r="F49" s="219">
        <v>0.1</v>
      </c>
      <c r="G49" s="246">
        <f>VLOOKUP(D49,Hoja2!B:D,2,0)</f>
        <v>148533</v>
      </c>
      <c r="H49" s="196">
        <f>VLOOKUP(D49,Hoja2!B:D,3,0)</f>
        <v>4485000</v>
      </c>
      <c r="I49" s="185">
        <v>8</v>
      </c>
      <c r="J49" s="220">
        <f t="shared" si="2"/>
        <v>3588000</v>
      </c>
      <c r="L49" s="173"/>
    </row>
    <row r="50" spans="1:12" s="174" customFormat="1" ht="35.25" hidden="1" customHeight="1" x14ac:dyDescent="0.25">
      <c r="A50" s="173"/>
      <c r="B50" s="320"/>
      <c r="C50" s="189" t="s">
        <v>67</v>
      </c>
      <c r="D50" s="182" t="s">
        <v>158</v>
      </c>
      <c r="E50" s="182">
        <v>0</v>
      </c>
      <c r="F50" s="219">
        <v>0</v>
      </c>
      <c r="G50" s="246">
        <f>VLOOKUP(D50,Hoja2!B:D,2,0)</f>
        <v>241000</v>
      </c>
      <c r="H50" s="196">
        <f>VLOOKUP(D50,Hoja2!B:D,3,0)</f>
        <v>7270000</v>
      </c>
      <c r="I50" s="185">
        <v>8</v>
      </c>
      <c r="J50" s="220">
        <f t="shared" si="2"/>
        <v>0</v>
      </c>
      <c r="L50" s="173"/>
    </row>
    <row r="51" spans="1:12" s="174" customFormat="1" ht="35.25" hidden="1" customHeight="1" x14ac:dyDescent="0.25">
      <c r="A51" s="173"/>
      <c r="B51" s="320"/>
      <c r="C51" s="189" t="s">
        <v>160</v>
      </c>
      <c r="D51" s="182" t="s">
        <v>159</v>
      </c>
      <c r="E51" s="182">
        <v>0</v>
      </c>
      <c r="F51" s="219">
        <v>0</v>
      </c>
      <c r="G51" s="246">
        <f>VLOOKUP(D51,Hoja2!B:D,2,0)</f>
        <v>329000</v>
      </c>
      <c r="H51" s="196">
        <f>VLOOKUP(D51,Hoja2!B:D,3,0)</f>
        <v>9897000</v>
      </c>
      <c r="I51" s="185">
        <v>8</v>
      </c>
      <c r="J51" s="220">
        <f t="shared" si="2"/>
        <v>0</v>
      </c>
      <c r="L51" s="173"/>
    </row>
    <row r="52" spans="1:12" s="174" customFormat="1" ht="35.25" hidden="1" customHeight="1" x14ac:dyDescent="0.25">
      <c r="A52" s="173"/>
      <c r="B52" s="320"/>
      <c r="C52" s="189" t="s">
        <v>161</v>
      </c>
      <c r="D52" s="182" t="s">
        <v>152</v>
      </c>
      <c r="E52" s="182">
        <v>0</v>
      </c>
      <c r="F52" s="219">
        <v>0</v>
      </c>
      <c r="G52" s="246">
        <f>VLOOKUP(D52,Hoja2!B:D,2,0)</f>
        <v>190900</v>
      </c>
      <c r="H52" s="196">
        <f>VLOOKUP(D52,Hoja2!B:D,3,0)</f>
        <v>5756000</v>
      </c>
      <c r="I52" s="185">
        <v>8</v>
      </c>
      <c r="J52" s="220">
        <f t="shared" si="2"/>
        <v>0</v>
      </c>
      <c r="L52" s="173"/>
    </row>
    <row r="53" spans="1:12" s="174" customFormat="1" ht="35.25" hidden="1" customHeight="1" x14ac:dyDescent="0.25">
      <c r="A53" s="173"/>
      <c r="B53" s="321"/>
      <c r="C53" s="189" t="s">
        <v>162</v>
      </c>
      <c r="D53" s="182" t="s">
        <v>159</v>
      </c>
      <c r="E53" s="182">
        <v>0</v>
      </c>
      <c r="F53" s="219">
        <v>0</v>
      </c>
      <c r="G53" s="246">
        <f>VLOOKUP(D53,Hoja2!B:D,2,0)</f>
        <v>329000</v>
      </c>
      <c r="H53" s="196">
        <f>VLOOKUP(D53,Hoja2!B:D,3,0)</f>
        <v>9897000</v>
      </c>
      <c r="I53" s="185">
        <v>8</v>
      </c>
      <c r="J53" s="220">
        <f t="shared" si="2"/>
        <v>0</v>
      </c>
      <c r="L53" s="173"/>
    </row>
    <row r="54" spans="1:12" ht="8.25" customHeight="1" x14ac:dyDescent="0.25"/>
    <row r="55" spans="1:12" ht="27.75" customHeight="1" x14ac:dyDescent="0.25">
      <c r="B55" s="223" t="s">
        <v>211</v>
      </c>
      <c r="C55" s="225"/>
      <c r="D55" s="225"/>
      <c r="E55" s="225"/>
      <c r="F55" s="225"/>
      <c r="G55" s="203"/>
      <c r="H55" s="203"/>
      <c r="I55" s="203"/>
      <c r="J55" s="224">
        <f>SUM(J47:J54)</f>
        <v>5888800</v>
      </c>
    </row>
    <row r="56" spans="1:12" ht="16.5" customHeight="1" x14ac:dyDescent="0.25"/>
    <row r="57" spans="1:12" s="174" customFormat="1" ht="83.25" customHeight="1" x14ac:dyDescent="0.25">
      <c r="A57" s="173"/>
      <c r="B57" s="226" t="s">
        <v>212</v>
      </c>
      <c r="C57" s="227" t="s">
        <v>183</v>
      </c>
      <c r="D57" s="322" t="s">
        <v>184</v>
      </c>
      <c r="E57" s="322"/>
      <c r="F57" s="322"/>
      <c r="G57" s="322"/>
      <c r="H57" s="228">
        <v>0.01</v>
      </c>
      <c r="I57" s="228"/>
      <c r="J57" s="224">
        <f>+J44*H57</f>
        <v>4313097.6900000004</v>
      </c>
      <c r="L57" s="173"/>
    </row>
    <row r="58" spans="1:12" s="174" customFormat="1" ht="23.25" customHeight="1" x14ac:dyDescent="0.25">
      <c r="A58" s="173"/>
      <c r="B58" s="173"/>
      <c r="C58" s="173"/>
      <c r="D58" s="173"/>
      <c r="E58" s="173"/>
      <c r="F58" s="173"/>
      <c r="G58" s="217"/>
      <c r="H58" s="217"/>
      <c r="I58" s="217"/>
      <c r="J58" s="218"/>
      <c r="L58" s="173"/>
    </row>
    <row r="59" spans="1:12" s="174" customFormat="1" ht="26.25" customHeight="1" x14ac:dyDescent="0.25">
      <c r="A59" s="173"/>
      <c r="B59" s="226" t="s">
        <v>213</v>
      </c>
      <c r="C59" s="227" t="s">
        <v>186</v>
      </c>
      <c r="D59" s="307"/>
      <c r="E59" s="308"/>
      <c r="F59" s="308"/>
      <c r="G59" s="308"/>
      <c r="H59" s="309"/>
      <c r="I59" s="232"/>
      <c r="J59" s="249">
        <v>0</v>
      </c>
      <c r="L59" s="173"/>
    </row>
    <row r="60" spans="1:12" s="174" customFormat="1" ht="28.5" customHeight="1" x14ac:dyDescent="0.25">
      <c r="A60" s="173"/>
      <c r="B60" s="211"/>
      <c r="C60" s="200"/>
      <c r="D60" s="200"/>
      <c r="E60" s="200"/>
      <c r="F60" s="200"/>
      <c r="G60" s="200"/>
      <c r="H60" s="212"/>
      <c r="I60" s="212"/>
      <c r="J60" s="213"/>
      <c r="L60" s="173"/>
    </row>
    <row r="61" spans="1:12" s="174" customFormat="1" ht="28.5" customHeight="1" x14ac:dyDescent="0.25">
      <c r="A61" s="173"/>
      <c r="B61" s="215" t="s">
        <v>209</v>
      </c>
      <c r="C61" s="310"/>
      <c r="D61" s="311"/>
      <c r="E61" s="311"/>
      <c r="F61" s="311"/>
      <c r="G61" s="311"/>
      <c r="H61" s="312"/>
      <c r="I61" s="222"/>
      <c r="J61" s="214">
        <f>+J59+J57+J55+J44</f>
        <v>441511666.69</v>
      </c>
      <c r="L61" s="173"/>
    </row>
    <row r="62" spans="1:12" s="174" customFormat="1" ht="28.5" customHeight="1" x14ac:dyDescent="0.25">
      <c r="A62" s="173"/>
      <c r="B62" s="216" t="s">
        <v>214</v>
      </c>
      <c r="C62" s="323"/>
      <c r="D62" s="323"/>
      <c r="E62" s="323"/>
      <c r="F62" s="323"/>
      <c r="G62" s="323"/>
      <c r="H62" s="323"/>
      <c r="I62" s="247">
        <v>0.19</v>
      </c>
      <c r="J62" s="214">
        <f>+J61*I62</f>
        <v>83887216.671100006</v>
      </c>
      <c r="L62" s="173"/>
    </row>
    <row r="63" spans="1:12" s="174" customFormat="1" ht="28.5" customHeight="1" x14ac:dyDescent="0.25">
      <c r="A63" s="173"/>
      <c r="B63" s="229" t="s">
        <v>215</v>
      </c>
      <c r="C63" s="316"/>
      <c r="D63" s="316"/>
      <c r="E63" s="316"/>
      <c r="F63" s="316"/>
      <c r="G63" s="316"/>
      <c r="H63" s="316"/>
      <c r="I63" s="233"/>
      <c r="J63" s="230">
        <f>ROUND(J62+J61,0)</f>
        <v>525398883</v>
      </c>
      <c r="L63" s="173"/>
    </row>
    <row r="64" spans="1:12" s="174" customFormat="1" ht="30.75" customHeight="1" x14ac:dyDescent="0.25">
      <c r="A64" s="173"/>
      <c r="B64" s="231" t="s">
        <v>180</v>
      </c>
      <c r="C64" s="173"/>
      <c r="D64" s="173"/>
      <c r="E64" s="173"/>
      <c r="F64" s="173"/>
      <c r="G64" s="175"/>
      <c r="H64" s="197"/>
      <c r="I64" s="197"/>
      <c r="J64" s="197"/>
      <c r="L64" s="173"/>
    </row>
    <row r="65" spans="1:12" s="174" customFormat="1" ht="24.75" customHeight="1" x14ac:dyDescent="0.25">
      <c r="A65" s="173"/>
      <c r="B65" s="231" t="s">
        <v>181</v>
      </c>
      <c r="C65" s="173"/>
      <c r="D65" s="173"/>
      <c r="E65" s="173"/>
      <c r="F65" s="173"/>
      <c r="G65" s="175"/>
      <c r="H65" s="197"/>
      <c r="I65" s="197"/>
      <c r="J65" s="197"/>
      <c r="L65" s="173"/>
    </row>
    <row r="66" spans="1:12" s="174" customFormat="1" ht="30" customHeight="1" x14ac:dyDescent="0.25">
      <c r="A66" s="173"/>
      <c r="B66" s="231" t="s">
        <v>188</v>
      </c>
      <c r="C66" s="173"/>
      <c r="D66" s="173"/>
      <c r="E66" s="173"/>
      <c r="F66" s="173"/>
      <c r="G66" s="175"/>
      <c r="H66" s="175"/>
      <c r="I66" s="175"/>
      <c r="J66" s="175"/>
      <c r="L66" s="173"/>
    </row>
    <row r="72" spans="1:12" ht="19.5" customHeight="1" x14ac:dyDescent="0.25">
      <c r="B72" s="200" t="s">
        <v>198</v>
      </c>
    </row>
    <row r="73" spans="1:12" ht="18" x14ac:dyDescent="0.25">
      <c r="B73" s="201"/>
    </row>
    <row r="74" spans="1:12" ht="18" customHeight="1" x14ac:dyDescent="0.25">
      <c r="B74" s="202"/>
    </row>
    <row r="75" spans="1:12" ht="18" x14ac:dyDescent="0.25">
      <c r="B75" s="202"/>
    </row>
    <row r="80" spans="1:12" x14ac:dyDescent="0.25">
      <c r="D80" s="173">
        <v>7702</v>
      </c>
      <c r="E80" s="173">
        <f>+D80/60</f>
        <v>128.36666666666667</v>
      </c>
      <c r="F80" s="173">
        <f>+E80/30</f>
        <v>4.278888888888889</v>
      </c>
      <c r="G80" s="173">
        <f>+F80+1</f>
        <v>5.278888888888889</v>
      </c>
      <c r="H80" s="175" t="s">
        <v>243</v>
      </c>
    </row>
  </sheetData>
  <protectedRanges>
    <protectedRange sqref="J10 J46" name="Rango1_4_1_2_1_1"/>
  </protectedRanges>
  <mergeCells count="10">
    <mergeCell ref="D59:H59"/>
    <mergeCell ref="C61:H61"/>
    <mergeCell ref="C62:H62"/>
    <mergeCell ref="C63:H63"/>
    <mergeCell ref="B5:J5"/>
    <mergeCell ref="B11:B13"/>
    <mergeCell ref="B14:B33"/>
    <mergeCell ref="B34:B42"/>
    <mergeCell ref="B46:B53"/>
    <mergeCell ref="D57:G57"/>
  </mergeCells>
  <printOptions horizontalCentered="1"/>
  <pageMargins left="0.54" right="0.28000000000000003" top="0.33" bottom="0.3" header="0.31496062992125984" footer="0.31496062992125984"/>
  <pageSetup scale="3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Hoja2!$G$14:$G$16</xm:f>
          </x14:formula1>
          <xm:sqref>D11:D13</xm:sqref>
        </x14:dataValidation>
        <x14:dataValidation type="list" allowBlank="1" showInputMessage="1" showErrorMessage="1" xr:uid="{00000000-0002-0000-0300-000001000000}">
          <x14:formula1>
            <xm:f>Hoja2!$H$14:$H$20</xm:f>
          </x14:formula1>
          <xm:sqref>D14:D33</xm:sqref>
        </x14:dataValidation>
        <x14:dataValidation type="list" allowBlank="1" showInputMessage="1" showErrorMessage="1" xr:uid="{00000000-0002-0000-0300-000002000000}">
          <x14:formula1>
            <xm:f>Hoja2!$I$14:$I$22</xm:f>
          </x14:formula1>
          <xm:sqref>D34:D43</xm:sqref>
        </x14:dataValidation>
        <x14:dataValidation type="list" allowBlank="1" showInputMessage="1" showErrorMessage="1" xr:uid="{00000000-0002-0000-0300-000003000000}">
          <x14:formula1>
            <xm:f>Hoja2!$J$14:$J$20</xm:f>
          </x14:formula1>
          <xm:sqref>D47:D53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5:L78"/>
  <sheetViews>
    <sheetView view="pageBreakPreview" topLeftCell="A5" zoomScale="60" zoomScaleNormal="85" workbookViewId="0">
      <pane ySplit="5145" topLeftCell="A33"/>
      <selection activeCell="H58" sqref="H58"/>
      <selection pane="bottomLeft" activeCell="H58" sqref="H58"/>
    </sheetView>
  </sheetViews>
  <sheetFormatPr baseColWidth="10" defaultColWidth="11.42578125" defaultRowHeight="15" x14ac:dyDescent="0.25"/>
  <cols>
    <col min="1" max="1" width="4" style="173" customWidth="1"/>
    <col min="2" max="2" width="48.5703125" style="173" customWidth="1"/>
    <col min="3" max="3" width="60.5703125" style="173" customWidth="1"/>
    <col min="4" max="4" width="17.5703125" style="173" bestFit="1" customWidth="1"/>
    <col min="5" max="5" width="13.42578125" style="173" bestFit="1" customWidth="1"/>
    <col min="6" max="6" width="20" style="173" bestFit="1" customWidth="1"/>
    <col min="7" max="7" width="24.85546875" style="175" customWidth="1"/>
    <col min="8" max="8" width="24" style="175" customWidth="1"/>
    <col min="9" max="9" width="25.5703125" style="175" customWidth="1"/>
    <col min="10" max="10" width="31.42578125" style="175" customWidth="1"/>
    <col min="11" max="11" width="19.5703125" style="174" customWidth="1"/>
    <col min="12" max="12" width="24.140625" style="173" customWidth="1"/>
    <col min="13" max="16384" width="11.42578125" style="173"/>
  </cols>
  <sheetData>
    <row r="5" spans="2:10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  <c r="J5" s="317"/>
    </row>
    <row r="7" spans="2:10" ht="33" customHeight="1" x14ac:dyDescent="0.25">
      <c r="B7" s="231" t="s">
        <v>239</v>
      </c>
    </row>
    <row r="10" spans="2:10" ht="72" customHeight="1" x14ac:dyDescent="0.25">
      <c r="B10" s="221" t="s">
        <v>142</v>
      </c>
      <c r="C10" s="176" t="s">
        <v>144</v>
      </c>
      <c r="D10" s="176" t="s">
        <v>143</v>
      </c>
      <c r="E10" s="176" t="s">
        <v>1</v>
      </c>
      <c r="F10" s="176" t="s">
        <v>208</v>
      </c>
      <c r="G10" s="199" t="s">
        <v>191</v>
      </c>
      <c r="H10" s="179" t="s">
        <v>146</v>
      </c>
      <c r="I10" s="199" t="s">
        <v>229</v>
      </c>
      <c r="J10" s="180" t="s">
        <v>145</v>
      </c>
    </row>
    <row r="11" spans="2:10" ht="50.25" customHeight="1" x14ac:dyDescent="0.25">
      <c r="B11" s="318" t="s">
        <v>138</v>
      </c>
      <c r="C11" s="181" t="s">
        <v>200</v>
      </c>
      <c r="D11" s="182" t="s">
        <v>165</v>
      </c>
      <c r="E11" s="182">
        <v>1</v>
      </c>
      <c r="F11" s="219">
        <v>0.5</v>
      </c>
      <c r="G11" s="196">
        <f>VLOOKUP(D11,Hoja2!B:D,3,0)</f>
        <v>5862000</v>
      </c>
      <c r="H11" s="245">
        <v>2.19</v>
      </c>
      <c r="I11" s="245">
        <v>10</v>
      </c>
      <c r="J11" s="186">
        <f>+I11*H11*G11*F11*E11</f>
        <v>64188899.999999993</v>
      </c>
    </row>
    <row r="12" spans="2:10" ht="36.75" hidden="1" customHeight="1" x14ac:dyDescent="0.25">
      <c r="B12" s="318"/>
      <c r="C12" s="181" t="s">
        <v>200</v>
      </c>
      <c r="D12" s="182" t="s">
        <v>165</v>
      </c>
      <c r="E12" s="182">
        <v>0</v>
      </c>
      <c r="F12" s="219"/>
      <c r="G12" s="196">
        <f>VLOOKUP(D12,Hoja2!B:D,3,0)</f>
        <v>5862000</v>
      </c>
      <c r="H12" s="245">
        <f>+$H$11</f>
        <v>2.19</v>
      </c>
      <c r="I12" s="245">
        <v>0</v>
      </c>
      <c r="J12" s="186">
        <f t="shared" ref="J12:J42" si="0">+I12*H12*G12*F12*E12</f>
        <v>0</v>
      </c>
    </row>
    <row r="13" spans="2:10" ht="41.25" hidden="1" customHeight="1" x14ac:dyDescent="0.25">
      <c r="B13" s="318"/>
      <c r="C13" s="181" t="s">
        <v>200</v>
      </c>
      <c r="D13" s="182" t="s">
        <v>166</v>
      </c>
      <c r="E13" s="182">
        <v>0</v>
      </c>
      <c r="F13" s="219"/>
      <c r="G13" s="196">
        <f>VLOOKUP(D13,Hoja2!B:D,3,0)</f>
        <v>4992000</v>
      </c>
      <c r="H13" s="245">
        <f t="shared" ref="H13:H42" si="1">+$H$11</f>
        <v>2.19</v>
      </c>
      <c r="I13" s="245">
        <v>0</v>
      </c>
      <c r="J13" s="186">
        <f t="shared" si="0"/>
        <v>0</v>
      </c>
    </row>
    <row r="14" spans="2:10" ht="62.25" hidden="1" customHeight="1" x14ac:dyDescent="0.25">
      <c r="B14" s="318" t="s">
        <v>68</v>
      </c>
      <c r="C14" s="181" t="s">
        <v>201</v>
      </c>
      <c r="D14" s="182" t="s">
        <v>164</v>
      </c>
      <c r="E14" s="182">
        <v>0</v>
      </c>
      <c r="F14" s="219">
        <v>0</v>
      </c>
      <c r="G14" s="196">
        <f>VLOOKUP(D14,Hoja2!B:D,3,0)</f>
        <v>6946000</v>
      </c>
      <c r="H14" s="245">
        <f t="shared" si="1"/>
        <v>2.19</v>
      </c>
      <c r="I14" s="245">
        <v>0</v>
      </c>
      <c r="J14" s="186">
        <f t="shared" si="0"/>
        <v>0</v>
      </c>
    </row>
    <row r="15" spans="2:10" ht="41.25" hidden="1" customHeight="1" x14ac:dyDescent="0.25">
      <c r="B15" s="318"/>
      <c r="C15" s="181" t="s">
        <v>202</v>
      </c>
      <c r="D15" s="182" t="s">
        <v>165</v>
      </c>
      <c r="E15" s="182">
        <v>0</v>
      </c>
      <c r="F15" s="219"/>
      <c r="G15" s="196">
        <f>VLOOKUP(D15,Hoja2!B:D,3,0)</f>
        <v>5862000</v>
      </c>
      <c r="H15" s="245">
        <f t="shared" si="1"/>
        <v>2.19</v>
      </c>
      <c r="I15" s="245">
        <v>0</v>
      </c>
      <c r="J15" s="186">
        <f t="shared" si="0"/>
        <v>0</v>
      </c>
    </row>
    <row r="16" spans="2:10" ht="41.25" customHeight="1" x14ac:dyDescent="0.25">
      <c r="B16" s="318"/>
      <c r="C16" s="181" t="s">
        <v>203</v>
      </c>
      <c r="D16" s="182" t="s">
        <v>167</v>
      </c>
      <c r="E16" s="182">
        <v>1</v>
      </c>
      <c r="F16" s="219">
        <v>0.2</v>
      </c>
      <c r="G16" s="196">
        <f>VLOOKUP(D16,Hoja2!B:D,3,0)</f>
        <v>4501000</v>
      </c>
      <c r="H16" s="245">
        <f t="shared" si="1"/>
        <v>2.19</v>
      </c>
      <c r="I16" s="245">
        <v>9</v>
      </c>
      <c r="J16" s="186">
        <f t="shared" si="0"/>
        <v>17742942</v>
      </c>
    </row>
    <row r="17" spans="2:12" ht="41.25" customHeight="1" x14ac:dyDescent="0.25">
      <c r="B17" s="318"/>
      <c r="C17" s="181" t="s">
        <v>204</v>
      </c>
      <c r="D17" s="182" t="s">
        <v>167</v>
      </c>
      <c r="E17" s="182">
        <v>1</v>
      </c>
      <c r="F17" s="219">
        <v>0.2</v>
      </c>
      <c r="G17" s="196">
        <f>VLOOKUP(D17,Hoja2!B:D,3,0)</f>
        <v>4501000</v>
      </c>
      <c r="H17" s="245">
        <f t="shared" si="1"/>
        <v>2.19</v>
      </c>
      <c r="I17" s="245">
        <v>9</v>
      </c>
      <c r="J17" s="186">
        <f t="shared" si="0"/>
        <v>17742942</v>
      </c>
    </row>
    <row r="18" spans="2:12" ht="46.5" customHeight="1" x14ac:dyDescent="0.25">
      <c r="B18" s="318"/>
      <c r="C18" s="181" t="s">
        <v>205</v>
      </c>
      <c r="D18" s="182" t="s">
        <v>167</v>
      </c>
      <c r="E18" s="182">
        <v>1</v>
      </c>
      <c r="F18" s="219">
        <v>0.2</v>
      </c>
      <c r="G18" s="196">
        <f>VLOOKUP(D18,Hoja2!B:D,3,0)</f>
        <v>4501000</v>
      </c>
      <c r="H18" s="245">
        <f t="shared" si="1"/>
        <v>2.19</v>
      </c>
      <c r="I18" s="245">
        <v>9</v>
      </c>
      <c r="J18" s="186">
        <f t="shared" si="0"/>
        <v>17742942</v>
      </c>
      <c r="K18" s="186">
        <f>+J18/I18</f>
        <v>1971438</v>
      </c>
      <c r="L18" s="175">
        <f>+K18*4</f>
        <v>7885752</v>
      </c>
    </row>
    <row r="19" spans="2:12" ht="41.25" customHeight="1" x14ac:dyDescent="0.25">
      <c r="B19" s="318"/>
      <c r="C19" s="181" t="s">
        <v>206</v>
      </c>
      <c r="D19" s="182" t="s">
        <v>167</v>
      </c>
      <c r="E19" s="182">
        <v>1</v>
      </c>
      <c r="F19" s="219">
        <v>0.2</v>
      </c>
      <c r="G19" s="196">
        <f>VLOOKUP(D19,Hoja2!B:D,3,0)</f>
        <v>4501000</v>
      </c>
      <c r="H19" s="245">
        <f t="shared" si="1"/>
        <v>2.19</v>
      </c>
      <c r="I19" s="245">
        <v>9</v>
      </c>
      <c r="J19" s="186">
        <f t="shared" si="0"/>
        <v>17742942</v>
      </c>
    </row>
    <row r="20" spans="2:12" ht="41.25" customHeight="1" x14ac:dyDescent="0.25">
      <c r="B20" s="318"/>
      <c r="C20" s="181" t="s">
        <v>207</v>
      </c>
      <c r="D20" s="182" t="s">
        <v>167</v>
      </c>
      <c r="E20" s="182">
        <v>1</v>
      </c>
      <c r="F20" s="219">
        <v>0.2</v>
      </c>
      <c r="G20" s="196">
        <f>VLOOKUP(D20,Hoja2!B:D,3,0)</f>
        <v>4501000</v>
      </c>
      <c r="H20" s="245">
        <f t="shared" si="1"/>
        <v>2.19</v>
      </c>
      <c r="I20" s="245">
        <v>9</v>
      </c>
      <c r="J20" s="186">
        <f t="shared" si="0"/>
        <v>17742942</v>
      </c>
    </row>
    <row r="21" spans="2:12" ht="41.25" hidden="1" customHeight="1" x14ac:dyDescent="0.25">
      <c r="B21" s="318"/>
      <c r="C21" s="181" t="s">
        <v>217</v>
      </c>
      <c r="D21" s="182" t="s">
        <v>167</v>
      </c>
      <c r="E21" s="182">
        <v>0</v>
      </c>
      <c r="F21" s="219"/>
      <c r="G21" s="196">
        <f>VLOOKUP(D21,Hoja2!B:D,3,0)</f>
        <v>4501000</v>
      </c>
      <c r="H21" s="245">
        <f t="shared" si="1"/>
        <v>2.19</v>
      </c>
      <c r="I21" s="245">
        <v>0</v>
      </c>
      <c r="J21" s="186">
        <f t="shared" si="0"/>
        <v>0</v>
      </c>
    </row>
    <row r="22" spans="2:12" ht="41.25" hidden="1" customHeight="1" x14ac:dyDescent="0.25">
      <c r="B22" s="318"/>
      <c r="C22" s="181" t="s">
        <v>218</v>
      </c>
      <c r="D22" s="182" t="s">
        <v>166</v>
      </c>
      <c r="E22" s="182">
        <v>0</v>
      </c>
      <c r="F22" s="219"/>
      <c r="G22" s="196">
        <f>VLOOKUP(D22,Hoja2!B:D,3,0)</f>
        <v>4992000</v>
      </c>
      <c r="H22" s="245">
        <f t="shared" si="1"/>
        <v>2.19</v>
      </c>
      <c r="I22" s="245">
        <v>0</v>
      </c>
      <c r="J22" s="186">
        <f t="shared" si="0"/>
        <v>0</v>
      </c>
    </row>
    <row r="23" spans="2:12" ht="41.25" customHeight="1" x14ac:dyDescent="0.25">
      <c r="B23" s="318"/>
      <c r="C23" s="181" t="s">
        <v>219</v>
      </c>
      <c r="D23" s="182" t="s">
        <v>167</v>
      </c>
      <c r="E23" s="182">
        <v>1</v>
      </c>
      <c r="F23" s="219">
        <v>0.2</v>
      </c>
      <c r="G23" s="196">
        <f>VLOOKUP(D23,Hoja2!B:D,3,0)</f>
        <v>4501000</v>
      </c>
      <c r="H23" s="245">
        <f t="shared" si="1"/>
        <v>2.19</v>
      </c>
      <c r="I23" s="245">
        <v>9</v>
      </c>
      <c r="J23" s="186">
        <f t="shared" si="0"/>
        <v>17742942</v>
      </c>
    </row>
    <row r="24" spans="2:12" ht="41.25" hidden="1" customHeight="1" x14ac:dyDescent="0.25">
      <c r="B24" s="318"/>
      <c r="C24" s="181" t="s">
        <v>220</v>
      </c>
      <c r="D24" s="182" t="s">
        <v>165</v>
      </c>
      <c r="E24" s="182">
        <v>0</v>
      </c>
      <c r="F24" s="219"/>
      <c r="G24" s="196">
        <f>VLOOKUP(D24,Hoja2!B:D,3,0)</f>
        <v>5862000</v>
      </c>
      <c r="H24" s="245">
        <f t="shared" si="1"/>
        <v>2.19</v>
      </c>
      <c r="I24" s="245">
        <v>0</v>
      </c>
      <c r="J24" s="186">
        <f t="shared" si="0"/>
        <v>0</v>
      </c>
    </row>
    <row r="25" spans="2:12" ht="41.25" customHeight="1" x14ac:dyDescent="0.25">
      <c r="B25" s="318"/>
      <c r="C25" s="181" t="s">
        <v>228</v>
      </c>
      <c r="D25" s="182" t="s">
        <v>167</v>
      </c>
      <c r="E25" s="182">
        <v>1</v>
      </c>
      <c r="F25" s="219">
        <v>0.05</v>
      </c>
      <c r="G25" s="196">
        <f>VLOOKUP(D25,Hoja2!B:D,3,0)</f>
        <v>4501000</v>
      </c>
      <c r="H25" s="245">
        <f t="shared" si="1"/>
        <v>2.19</v>
      </c>
      <c r="I25" s="245">
        <v>9</v>
      </c>
      <c r="J25" s="186">
        <f t="shared" si="0"/>
        <v>4435735.5</v>
      </c>
    </row>
    <row r="26" spans="2:12" ht="41.25" customHeight="1" x14ac:dyDescent="0.25">
      <c r="B26" s="318"/>
      <c r="C26" s="181" t="s">
        <v>221</v>
      </c>
      <c r="D26" s="182" t="s">
        <v>167</v>
      </c>
      <c r="E26" s="182">
        <v>1</v>
      </c>
      <c r="F26" s="219">
        <v>1</v>
      </c>
      <c r="G26" s="196">
        <f>VLOOKUP(D26,Hoja2!B:D,3,0)</f>
        <v>4501000</v>
      </c>
      <c r="H26" s="245">
        <f t="shared" si="1"/>
        <v>2.19</v>
      </c>
      <c r="I26" s="245">
        <v>10</v>
      </c>
      <c r="J26" s="186">
        <f t="shared" si="0"/>
        <v>98571900</v>
      </c>
    </row>
    <row r="27" spans="2:12" ht="41.25" customHeight="1" x14ac:dyDescent="0.25">
      <c r="B27" s="318"/>
      <c r="C27" s="181" t="s">
        <v>222</v>
      </c>
      <c r="D27" s="182" t="s">
        <v>167</v>
      </c>
      <c r="E27" s="182">
        <v>1</v>
      </c>
      <c r="F27" s="219">
        <v>1</v>
      </c>
      <c r="G27" s="196">
        <f>VLOOKUP(D27,Hoja2!B:D,3,0)</f>
        <v>4501000</v>
      </c>
      <c r="H27" s="245">
        <f t="shared" si="1"/>
        <v>2.19</v>
      </c>
      <c r="I27" s="245">
        <v>9</v>
      </c>
      <c r="J27" s="186">
        <f t="shared" si="0"/>
        <v>88714710</v>
      </c>
    </row>
    <row r="28" spans="2:12" ht="41.25" hidden="1" customHeight="1" x14ac:dyDescent="0.25">
      <c r="B28" s="318"/>
      <c r="C28" s="181" t="s">
        <v>223</v>
      </c>
      <c r="D28" s="182" t="s">
        <v>167</v>
      </c>
      <c r="E28" s="182">
        <v>0</v>
      </c>
      <c r="F28" s="219">
        <v>0</v>
      </c>
      <c r="G28" s="196">
        <f>VLOOKUP(D28,Hoja2!B:D,3,0)</f>
        <v>4501000</v>
      </c>
      <c r="H28" s="245">
        <f t="shared" si="1"/>
        <v>2.19</v>
      </c>
      <c r="I28" s="245">
        <v>0</v>
      </c>
      <c r="J28" s="186">
        <f t="shared" si="0"/>
        <v>0</v>
      </c>
    </row>
    <row r="29" spans="2:12" ht="41.25" hidden="1" customHeight="1" x14ac:dyDescent="0.25">
      <c r="B29" s="318"/>
      <c r="C29" s="181" t="s">
        <v>224</v>
      </c>
      <c r="D29" s="182" t="s">
        <v>165</v>
      </c>
      <c r="E29" s="182">
        <v>0</v>
      </c>
      <c r="F29" s="219">
        <v>0</v>
      </c>
      <c r="G29" s="196">
        <f>VLOOKUP(D29,Hoja2!B:D,3,0)</f>
        <v>5862000</v>
      </c>
      <c r="H29" s="245">
        <f t="shared" si="1"/>
        <v>2.19</v>
      </c>
      <c r="I29" s="245">
        <v>0</v>
      </c>
      <c r="J29" s="186">
        <f t="shared" si="0"/>
        <v>0</v>
      </c>
    </row>
    <row r="30" spans="2:12" ht="41.25" hidden="1" customHeight="1" x14ac:dyDescent="0.25">
      <c r="B30" s="318"/>
      <c r="C30" s="181" t="s">
        <v>225</v>
      </c>
      <c r="D30" s="182" t="s">
        <v>165</v>
      </c>
      <c r="E30" s="182">
        <v>0</v>
      </c>
      <c r="F30" s="219">
        <v>0</v>
      </c>
      <c r="G30" s="196">
        <f>VLOOKUP(D30,Hoja2!B:D,3,0)</f>
        <v>5862000</v>
      </c>
      <c r="H30" s="245">
        <f t="shared" si="1"/>
        <v>2.19</v>
      </c>
      <c r="I30" s="245">
        <v>0</v>
      </c>
      <c r="J30" s="186">
        <f t="shared" si="0"/>
        <v>0</v>
      </c>
    </row>
    <row r="31" spans="2:12" ht="41.25" customHeight="1" x14ac:dyDescent="0.25">
      <c r="B31" s="318"/>
      <c r="C31" s="181" t="s">
        <v>230</v>
      </c>
      <c r="D31" s="182" t="s">
        <v>137</v>
      </c>
      <c r="E31" s="182">
        <v>1</v>
      </c>
      <c r="F31" s="219">
        <v>1</v>
      </c>
      <c r="G31" s="196">
        <f>VLOOKUP(D31,Hoja2!B:D,3,0)</f>
        <v>2864000</v>
      </c>
      <c r="H31" s="245">
        <f t="shared" si="1"/>
        <v>2.19</v>
      </c>
      <c r="I31" s="245">
        <v>9</v>
      </c>
      <c r="J31" s="186">
        <f t="shared" si="0"/>
        <v>56449440</v>
      </c>
    </row>
    <row r="32" spans="2:12" ht="41.25" hidden="1" customHeight="1" x14ac:dyDescent="0.25">
      <c r="B32" s="318"/>
      <c r="C32" s="181" t="s">
        <v>226</v>
      </c>
      <c r="D32" s="182" t="s">
        <v>168</v>
      </c>
      <c r="E32" s="182">
        <v>0</v>
      </c>
      <c r="F32" s="219">
        <v>0</v>
      </c>
      <c r="G32" s="196">
        <f>VLOOKUP(D32,Hoja2!B:D,3,0)</f>
        <v>4014000</v>
      </c>
      <c r="H32" s="245">
        <f t="shared" si="1"/>
        <v>2.19</v>
      </c>
      <c r="I32" s="245">
        <v>0</v>
      </c>
      <c r="J32" s="186">
        <f t="shared" si="0"/>
        <v>0</v>
      </c>
    </row>
    <row r="33" spans="1:12" ht="41.25" customHeight="1" x14ac:dyDescent="0.25">
      <c r="B33" s="318"/>
      <c r="C33" s="235" t="s">
        <v>227</v>
      </c>
      <c r="D33" s="182" t="s">
        <v>167</v>
      </c>
      <c r="E33" s="182">
        <v>1</v>
      </c>
      <c r="F33" s="219">
        <v>0.2</v>
      </c>
      <c r="G33" s="196">
        <f>VLOOKUP(D33,Hoja2!B:D,3,0)</f>
        <v>4501000</v>
      </c>
      <c r="H33" s="245">
        <f t="shared" si="1"/>
        <v>2.19</v>
      </c>
      <c r="I33" s="245">
        <v>9</v>
      </c>
      <c r="J33" s="186">
        <f t="shared" si="0"/>
        <v>17742942</v>
      </c>
    </row>
    <row r="34" spans="1:12" ht="41.1" customHeight="1" x14ac:dyDescent="0.25">
      <c r="B34" s="319" t="s">
        <v>140</v>
      </c>
      <c r="C34" s="181" t="s">
        <v>136</v>
      </c>
      <c r="D34" s="182" t="s">
        <v>170</v>
      </c>
      <c r="E34" s="182">
        <v>1</v>
      </c>
      <c r="F34" s="219">
        <v>0.2</v>
      </c>
      <c r="G34" s="198">
        <f>VLOOKUP(D34,Hoja2!B:D,3,0)</f>
        <v>2165000</v>
      </c>
      <c r="H34" s="245">
        <f t="shared" si="1"/>
        <v>2.19</v>
      </c>
      <c r="I34" s="245">
        <v>9</v>
      </c>
      <c r="J34" s="186">
        <f t="shared" si="0"/>
        <v>8534430</v>
      </c>
    </row>
    <row r="35" spans="1:12" ht="41.1" hidden="1" customHeight="1" x14ac:dyDescent="0.25">
      <c r="B35" s="320"/>
      <c r="C35" s="181" t="s">
        <v>72</v>
      </c>
      <c r="D35" s="182" t="s">
        <v>171</v>
      </c>
      <c r="E35" s="182">
        <v>0</v>
      </c>
      <c r="F35" s="219">
        <v>0</v>
      </c>
      <c r="G35" s="198">
        <f>VLOOKUP(D35,Hoja2!B:D,3,0)</f>
        <v>2078000</v>
      </c>
      <c r="H35" s="245">
        <f t="shared" si="1"/>
        <v>2.19</v>
      </c>
      <c r="I35" s="245">
        <v>0</v>
      </c>
      <c r="J35" s="186">
        <f t="shared" si="0"/>
        <v>0</v>
      </c>
    </row>
    <row r="36" spans="1:12" ht="41.1" hidden="1" customHeight="1" x14ac:dyDescent="0.25">
      <c r="B36" s="320"/>
      <c r="C36" s="181" t="s">
        <v>135</v>
      </c>
      <c r="D36" s="182" t="s">
        <v>172</v>
      </c>
      <c r="E36" s="182">
        <v>1</v>
      </c>
      <c r="F36" s="219">
        <v>0.2</v>
      </c>
      <c r="G36" s="198">
        <f>VLOOKUP(D36,Hoja2!B:D,3,0)</f>
        <v>1916000</v>
      </c>
      <c r="H36" s="245">
        <f t="shared" si="1"/>
        <v>2.19</v>
      </c>
      <c r="I36" s="245">
        <v>0</v>
      </c>
      <c r="J36" s="186">
        <f t="shared" si="0"/>
        <v>0</v>
      </c>
    </row>
    <row r="37" spans="1:12" ht="41.1" hidden="1" customHeight="1" x14ac:dyDescent="0.25">
      <c r="B37" s="320"/>
      <c r="C37" s="181" t="s">
        <v>73</v>
      </c>
      <c r="D37" s="182" t="s">
        <v>173</v>
      </c>
      <c r="E37" s="182">
        <v>1</v>
      </c>
      <c r="F37" s="219">
        <v>0.2</v>
      </c>
      <c r="G37" s="198">
        <f>VLOOKUP(D37,Hoja2!B:D,3,0)</f>
        <v>1827000</v>
      </c>
      <c r="H37" s="245">
        <f t="shared" si="1"/>
        <v>2.19</v>
      </c>
      <c r="I37" s="245">
        <v>0</v>
      </c>
      <c r="J37" s="186">
        <f t="shared" si="0"/>
        <v>0</v>
      </c>
    </row>
    <row r="38" spans="1:12" ht="41.1" hidden="1" customHeight="1" x14ac:dyDescent="0.25">
      <c r="B38" s="320"/>
      <c r="C38" s="181" t="s">
        <v>75</v>
      </c>
      <c r="D38" s="182" t="s">
        <v>174</v>
      </c>
      <c r="E38" s="182">
        <v>0</v>
      </c>
      <c r="F38" s="219">
        <v>0</v>
      </c>
      <c r="G38" s="198">
        <f>VLOOKUP(D38,Hoja2!B:D,3,0)</f>
        <v>1777000</v>
      </c>
      <c r="H38" s="245">
        <f t="shared" si="1"/>
        <v>2.19</v>
      </c>
      <c r="I38" s="245">
        <v>0</v>
      </c>
      <c r="J38" s="186">
        <f t="shared" si="0"/>
        <v>0</v>
      </c>
    </row>
    <row r="39" spans="1:12" ht="41.1" hidden="1" customHeight="1" x14ac:dyDescent="0.25">
      <c r="B39" s="320"/>
      <c r="C39" s="181" t="s">
        <v>134</v>
      </c>
      <c r="D39" s="182" t="s">
        <v>175</v>
      </c>
      <c r="E39" s="182">
        <v>0</v>
      </c>
      <c r="F39" s="219">
        <v>0</v>
      </c>
      <c r="G39" s="198">
        <f>VLOOKUP(D39,Hoja2!B:D,3,0)</f>
        <v>1576000</v>
      </c>
      <c r="H39" s="245">
        <f t="shared" si="1"/>
        <v>2.19</v>
      </c>
      <c r="I39" s="245">
        <v>0</v>
      </c>
      <c r="J39" s="186">
        <f t="shared" si="0"/>
        <v>0</v>
      </c>
    </row>
    <row r="40" spans="1:12" ht="41.1" customHeight="1" x14ac:dyDescent="0.25">
      <c r="B40" s="320"/>
      <c r="C40" s="181" t="s">
        <v>74</v>
      </c>
      <c r="D40" s="182" t="s">
        <v>176</v>
      </c>
      <c r="E40" s="182">
        <v>2</v>
      </c>
      <c r="F40" s="219">
        <v>1</v>
      </c>
      <c r="G40" s="198">
        <f>VLOOKUP(D40,Hoja2!B:D,3,0)</f>
        <v>1548000</v>
      </c>
      <c r="H40" s="245">
        <f t="shared" si="1"/>
        <v>2.19</v>
      </c>
      <c r="I40" s="245">
        <v>9</v>
      </c>
      <c r="J40" s="186">
        <f t="shared" si="0"/>
        <v>61022160</v>
      </c>
    </row>
    <row r="41" spans="1:12" ht="41.1" hidden="1" customHeight="1" x14ac:dyDescent="0.25">
      <c r="B41" s="320"/>
      <c r="C41" s="181" t="s">
        <v>77</v>
      </c>
      <c r="D41" s="182" t="s">
        <v>176</v>
      </c>
      <c r="E41" s="182">
        <v>0</v>
      </c>
      <c r="F41" s="219">
        <v>0</v>
      </c>
      <c r="G41" s="198">
        <f>VLOOKUP(D41,Hoja2!B:D,3,0)</f>
        <v>1548000</v>
      </c>
      <c r="H41" s="245">
        <f t="shared" si="1"/>
        <v>2.19</v>
      </c>
      <c r="I41" s="245">
        <v>0</v>
      </c>
      <c r="J41" s="186">
        <f t="shared" si="0"/>
        <v>0</v>
      </c>
    </row>
    <row r="42" spans="1:12" ht="41.1" customHeight="1" x14ac:dyDescent="0.25">
      <c r="B42" s="321"/>
      <c r="C42" s="181" t="s">
        <v>179</v>
      </c>
      <c r="D42" s="182" t="s">
        <v>178</v>
      </c>
      <c r="E42" s="182">
        <v>1</v>
      </c>
      <c r="F42" s="219">
        <v>0.2</v>
      </c>
      <c r="G42" s="198">
        <f>VLOOKUP(D42,Hoja2!B:D,3,0)</f>
        <v>1343000</v>
      </c>
      <c r="H42" s="245">
        <f t="shared" si="1"/>
        <v>2.19</v>
      </c>
      <c r="I42" s="245">
        <v>10</v>
      </c>
      <c r="J42" s="186">
        <f t="shared" si="0"/>
        <v>5882340</v>
      </c>
    </row>
    <row r="43" spans="1:12" ht="12.75" customHeight="1" x14ac:dyDescent="0.25">
      <c r="B43" s="207"/>
      <c r="D43" s="205"/>
      <c r="E43" s="205"/>
      <c r="F43" s="205"/>
      <c r="G43" s="208"/>
      <c r="H43" s="209"/>
      <c r="I43" s="209"/>
      <c r="J43" s="210"/>
    </row>
    <row r="44" spans="1:12" ht="33.75" customHeight="1" x14ac:dyDescent="0.25">
      <c r="B44" s="223" t="s">
        <v>210</v>
      </c>
      <c r="C44" s="223"/>
      <c r="D44" s="223"/>
      <c r="E44" s="223"/>
      <c r="F44" s="223"/>
      <c r="G44" s="224"/>
      <c r="H44" s="224"/>
      <c r="I44" s="224"/>
      <c r="J44" s="224">
        <f>SUM(J11:J43)</f>
        <v>512000209.5</v>
      </c>
    </row>
    <row r="45" spans="1:12" ht="9" customHeight="1" x14ac:dyDescent="0.25"/>
    <row r="46" spans="1:12" ht="44.25" customHeight="1" x14ac:dyDescent="0.25">
      <c r="B46" s="319" t="s">
        <v>163</v>
      </c>
      <c r="C46" s="194" t="s">
        <v>157</v>
      </c>
      <c r="D46" s="194" t="s">
        <v>156</v>
      </c>
      <c r="E46" s="176" t="s">
        <v>1</v>
      </c>
      <c r="F46" s="176" t="s">
        <v>233</v>
      </c>
      <c r="G46" s="194" t="s">
        <v>192</v>
      </c>
      <c r="H46" s="194" t="s">
        <v>193</v>
      </c>
      <c r="I46" s="194" t="s">
        <v>216</v>
      </c>
      <c r="J46" s="180" t="s">
        <v>145</v>
      </c>
    </row>
    <row r="47" spans="1:12" s="174" customFormat="1" ht="35.25" customHeight="1" x14ac:dyDescent="0.25">
      <c r="A47" s="173"/>
      <c r="B47" s="320"/>
      <c r="C47" s="189" t="s">
        <v>147</v>
      </c>
      <c r="D47" s="182" t="s">
        <v>148</v>
      </c>
      <c r="E47" s="182">
        <v>1</v>
      </c>
      <c r="F47" s="219">
        <v>0.2</v>
      </c>
      <c r="G47" s="246">
        <f>VLOOKUP(D47,Hoja2!B:D,2,0)</f>
        <v>94900</v>
      </c>
      <c r="H47" s="196">
        <f>VLOOKUP(D47,Hoja2!B:D,3,0)</f>
        <v>2876000</v>
      </c>
      <c r="I47" s="185">
        <v>9</v>
      </c>
      <c r="J47" s="220">
        <f>+I47*H47*F47*E47</f>
        <v>5176800</v>
      </c>
      <c r="L47" s="173"/>
    </row>
    <row r="48" spans="1:12" s="174" customFormat="1" ht="42.75" hidden="1" customHeight="1" x14ac:dyDescent="0.25">
      <c r="A48" s="173"/>
      <c r="B48" s="320"/>
      <c r="C48" s="189" t="s">
        <v>150</v>
      </c>
      <c r="D48" s="182" t="s">
        <v>151</v>
      </c>
      <c r="E48" s="182">
        <v>1</v>
      </c>
      <c r="F48" s="219">
        <v>0</v>
      </c>
      <c r="G48" s="246">
        <f>VLOOKUP(D48,Hoja2!B:D,2,0)</f>
        <v>148533</v>
      </c>
      <c r="H48" s="196">
        <f>VLOOKUP(D48,Hoja2!B:D,3,0)</f>
        <v>4485000</v>
      </c>
      <c r="I48" s="185">
        <v>0</v>
      </c>
      <c r="J48" s="220">
        <f t="shared" ref="J48:J53" si="2">+I48*H48*F48*E48</f>
        <v>0</v>
      </c>
      <c r="L48" s="173"/>
    </row>
    <row r="49" spans="1:12" s="174" customFormat="1" ht="35.25" customHeight="1" x14ac:dyDescent="0.25">
      <c r="A49" s="173"/>
      <c r="B49" s="320"/>
      <c r="C49" s="189" t="s">
        <v>66</v>
      </c>
      <c r="D49" s="182" t="s">
        <v>151</v>
      </c>
      <c r="E49" s="182">
        <v>1</v>
      </c>
      <c r="F49" s="219">
        <v>0.3</v>
      </c>
      <c r="G49" s="246">
        <f>VLOOKUP(D49,Hoja2!B:D,2,0)</f>
        <v>148533</v>
      </c>
      <c r="H49" s="196">
        <f>VLOOKUP(D49,Hoja2!B:D,3,0)</f>
        <v>4485000</v>
      </c>
      <c r="I49" s="185">
        <v>9</v>
      </c>
      <c r="J49" s="220">
        <f t="shared" si="2"/>
        <v>12109500</v>
      </c>
      <c r="L49" s="173"/>
    </row>
    <row r="50" spans="1:12" s="174" customFormat="1" ht="35.25" hidden="1" customHeight="1" x14ac:dyDescent="0.25">
      <c r="A50" s="173"/>
      <c r="B50" s="320"/>
      <c r="C50" s="189" t="s">
        <v>67</v>
      </c>
      <c r="D50" s="182" t="s">
        <v>158</v>
      </c>
      <c r="E50" s="182">
        <v>0</v>
      </c>
      <c r="F50" s="219">
        <v>0</v>
      </c>
      <c r="G50" s="246">
        <f>VLOOKUP(D50,Hoja2!B:D,2,0)</f>
        <v>241000</v>
      </c>
      <c r="H50" s="196">
        <f>VLOOKUP(D50,Hoja2!B:D,3,0)</f>
        <v>7270000</v>
      </c>
      <c r="I50" s="185">
        <v>0</v>
      </c>
      <c r="J50" s="220">
        <f t="shared" si="2"/>
        <v>0</v>
      </c>
      <c r="L50" s="173"/>
    </row>
    <row r="51" spans="1:12" s="174" customFormat="1" ht="35.25" hidden="1" customHeight="1" x14ac:dyDescent="0.25">
      <c r="A51" s="173"/>
      <c r="B51" s="320"/>
      <c r="C51" s="189" t="s">
        <v>160</v>
      </c>
      <c r="D51" s="182" t="s">
        <v>159</v>
      </c>
      <c r="E51" s="182">
        <v>0</v>
      </c>
      <c r="F51" s="219">
        <v>0</v>
      </c>
      <c r="G51" s="246">
        <f>VLOOKUP(D51,Hoja2!B:D,2,0)</f>
        <v>329000</v>
      </c>
      <c r="H51" s="196">
        <f>VLOOKUP(D51,Hoja2!B:D,3,0)</f>
        <v>9897000</v>
      </c>
      <c r="I51" s="185">
        <v>0</v>
      </c>
      <c r="J51" s="220">
        <f t="shared" si="2"/>
        <v>0</v>
      </c>
      <c r="L51" s="173"/>
    </row>
    <row r="52" spans="1:12" s="174" customFormat="1" ht="35.25" hidden="1" customHeight="1" x14ac:dyDescent="0.25">
      <c r="A52" s="173"/>
      <c r="B52" s="320"/>
      <c r="C52" s="189" t="s">
        <v>161</v>
      </c>
      <c r="D52" s="182" t="s">
        <v>152</v>
      </c>
      <c r="E52" s="182">
        <v>0</v>
      </c>
      <c r="F52" s="219">
        <v>0</v>
      </c>
      <c r="G52" s="246">
        <f>VLOOKUP(D52,Hoja2!B:D,2,0)</f>
        <v>190900</v>
      </c>
      <c r="H52" s="196">
        <f>VLOOKUP(D52,Hoja2!B:D,3,0)</f>
        <v>5756000</v>
      </c>
      <c r="I52" s="185">
        <v>0</v>
      </c>
      <c r="J52" s="220">
        <f t="shared" si="2"/>
        <v>0</v>
      </c>
      <c r="L52" s="173"/>
    </row>
    <row r="53" spans="1:12" s="174" customFormat="1" ht="35.25" hidden="1" customHeight="1" x14ac:dyDescent="0.25">
      <c r="A53" s="173"/>
      <c r="B53" s="321"/>
      <c r="C53" s="189" t="s">
        <v>162</v>
      </c>
      <c r="D53" s="182" t="s">
        <v>159</v>
      </c>
      <c r="E53" s="182">
        <v>0</v>
      </c>
      <c r="F53" s="219">
        <v>0</v>
      </c>
      <c r="G53" s="246">
        <f>VLOOKUP(D53,Hoja2!B:D,2,0)</f>
        <v>329000</v>
      </c>
      <c r="H53" s="196">
        <f>VLOOKUP(D53,Hoja2!B:D,3,0)</f>
        <v>9897000</v>
      </c>
      <c r="I53" s="185">
        <v>0</v>
      </c>
      <c r="J53" s="220">
        <f t="shared" si="2"/>
        <v>0</v>
      </c>
      <c r="L53" s="173"/>
    </row>
    <row r="54" spans="1:12" ht="8.25" customHeight="1" x14ac:dyDescent="0.25"/>
    <row r="55" spans="1:12" ht="27.75" customHeight="1" x14ac:dyDescent="0.25">
      <c r="B55" s="223" t="s">
        <v>211</v>
      </c>
      <c r="C55" s="225"/>
      <c r="D55" s="225"/>
      <c r="E55" s="225"/>
      <c r="F55" s="225"/>
      <c r="G55" s="203"/>
      <c r="H55" s="203"/>
      <c r="I55" s="203"/>
      <c r="J55" s="224">
        <f>SUM(J47:J54)</f>
        <v>17286300</v>
      </c>
    </row>
    <row r="56" spans="1:12" ht="16.5" customHeight="1" x14ac:dyDescent="0.25"/>
    <row r="57" spans="1:12" s="174" customFormat="1" ht="83.25" customHeight="1" x14ac:dyDescent="0.25">
      <c r="A57" s="173"/>
      <c r="B57" s="226" t="s">
        <v>212</v>
      </c>
      <c r="C57" s="227" t="s">
        <v>183</v>
      </c>
      <c r="D57" s="322" t="s">
        <v>184</v>
      </c>
      <c r="E57" s="322"/>
      <c r="F57" s="322"/>
      <c r="G57" s="322"/>
      <c r="H57" s="228">
        <v>0.01</v>
      </c>
      <c r="I57" s="228"/>
      <c r="J57" s="224">
        <f>+J44*H57</f>
        <v>5120002.0949999997</v>
      </c>
      <c r="L57" s="173"/>
    </row>
    <row r="58" spans="1:12" s="174" customFormat="1" ht="23.25" customHeight="1" x14ac:dyDescent="0.25">
      <c r="A58" s="173"/>
      <c r="B58" s="173"/>
      <c r="C58" s="173"/>
      <c r="D58" s="173"/>
      <c r="E58" s="173"/>
      <c r="F58" s="173"/>
      <c r="G58" s="217"/>
      <c r="H58" s="217"/>
      <c r="I58" s="217"/>
      <c r="J58" s="218"/>
      <c r="L58" s="173"/>
    </row>
    <row r="59" spans="1:12" s="174" customFormat="1" ht="26.25" customHeight="1" x14ac:dyDescent="0.25">
      <c r="A59" s="173"/>
      <c r="B59" s="226" t="s">
        <v>213</v>
      </c>
      <c r="C59" s="227" t="s">
        <v>186</v>
      </c>
      <c r="D59" s="307"/>
      <c r="E59" s="308"/>
      <c r="F59" s="308"/>
      <c r="G59" s="308"/>
      <c r="H59" s="309"/>
      <c r="I59" s="232"/>
      <c r="J59" s="249">
        <v>0</v>
      </c>
      <c r="L59" s="173"/>
    </row>
    <row r="60" spans="1:12" s="174" customFormat="1" ht="28.5" customHeight="1" x14ac:dyDescent="0.25">
      <c r="A60" s="173"/>
      <c r="B60" s="211"/>
      <c r="C60" s="200"/>
      <c r="D60" s="200"/>
      <c r="E60" s="200"/>
      <c r="F60" s="200"/>
      <c r="G60" s="200"/>
      <c r="H60" s="212"/>
      <c r="I60" s="212"/>
      <c r="J60" s="213"/>
      <c r="L60" s="173"/>
    </row>
    <row r="61" spans="1:12" s="174" customFormat="1" ht="28.5" customHeight="1" x14ac:dyDescent="0.25">
      <c r="A61" s="173"/>
      <c r="B61" s="215" t="s">
        <v>209</v>
      </c>
      <c r="C61" s="310"/>
      <c r="D61" s="311"/>
      <c r="E61" s="311"/>
      <c r="F61" s="311"/>
      <c r="G61" s="311"/>
      <c r="H61" s="312"/>
      <c r="I61" s="222"/>
      <c r="J61" s="214">
        <f>+J59+J57+J55+J44</f>
        <v>534406511.59500003</v>
      </c>
      <c r="L61" s="173"/>
    </row>
    <row r="62" spans="1:12" s="174" customFormat="1" ht="28.5" customHeight="1" x14ac:dyDescent="0.25">
      <c r="A62" s="173"/>
      <c r="B62" s="216" t="s">
        <v>214</v>
      </c>
      <c r="C62" s="323"/>
      <c r="D62" s="323"/>
      <c r="E62" s="323"/>
      <c r="F62" s="323"/>
      <c r="G62" s="323"/>
      <c r="H62" s="323"/>
      <c r="I62" s="247">
        <v>0.19</v>
      </c>
      <c r="J62" s="214">
        <f>+J61*I62</f>
        <v>101537237.20305</v>
      </c>
      <c r="L62" s="173"/>
    </row>
    <row r="63" spans="1:12" s="174" customFormat="1" ht="28.5" customHeight="1" x14ac:dyDescent="0.25">
      <c r="A63" s="173"/>
      <c r="B63" s="229" t="s">
        <v>215</v>
      </c>
      <c r="C63" s="316"/>
      <c r="D63" s="316"/>
      <c r="E63" s="316"/>
      <c r="F63" s="316"/>
      <c r="G63" s="316"/>
      <c r="H63" s="316"/>
      <c r="I63" s="233"/>
      <c r="J63" s="230">
        <f>ROUND(J62+J61,0)</f>
        <v>635943749</v>
      </c>
      <c r="L63" s="173"/>
    </row>
    <row r="64" spans="1:12" s="174" customFormat="1" ht="30.75" customHeight="1" x14ac:dyDescent="0.25">
      <c r="A64" s="173"/>
      <c r="B64" s="231" t="s">
        <v>180</v>
      </c>
      <c r="C64" s="173"/>
      <c r="D64" s="173"/>
      <c r="E64" s="173"/>
      <c r="F64" s="173"/>
      <c r="G64" s="175"/>
      <c r="H64" s="197"/>
      <c r="I64" s="197"/>
      <c r="J64" s="197"/>
      <c r="L64" s="173"/>
    </row>
    <row r="65" spans="1:12" s="174" customFormat="1" ht="24.75" customHeight="1" x14ac:dyDescent="0.25">
      <c r="A65" s="173"/>
      <c r="B65" s="231" t="s">
        <v>181</v>
      </c>
      <c r="C65" s="173"/>
      <c r="D65" s="173"/>
      <c r="E65" s="173"/>
      <c r="F65" s="173"/>
      <c r="G65" s="175"/>
      <c r="H65" s="197"/>
      <c r="I65" s="197"/>
      <c r="J65" s="197"/>
      <c r="L65" s="173"/>
    </row>
    <row r="66" spans="1:12" s="174" customFormat="1" ht="30" customHeight="1" x14ac:dyDescent="0.25">
      <c r="A66" s="173"/>
      <c r="B66" s="231" t="s">
        <v>188</v>
      </c>
      <c r="C66" s="173"/>
      <c r="D66" s="173"/>
      <c r="E66" s="173"/>
      <c r="F66" s="173"/>
      <c r="G66" s="175"/>
      <c r="H66" s="175"/>
      <c r="I66" s="175"/>
      <c r="J66" s="175"/>
      <c r="L66" s="173"/>
    </row>
    <row r="72" spans="1:12" ht="19.5" customHeight="1" x14ac:dyDescent="0.25">
      <c r="B72" s="200" t="s">
        <v>198</v>
      </c>
    </row>
    <row r="73" spans="1:12" ht="18" x14ac:dyDescent="0.25">
      <c r="B73" s="201"/>
    </row>
    <row r="74" spans="1:12" ht="18" customHeight="1" x14ac:dyDescent="0.25">
      <c r="B74" s="202"/>
    </row>
    <row r="75" spans="1:12" ht="18" x14ac:dyDescent="0.25">
      <c r="B75" s="202"/>
    </row>
    <row r="78" spans="1:12" x14ac:dyDescent="0.25">
      <c r="D78" s="173">
        <v>8403</v>
      </c>
      <c r="E78" s="173">
        <f>+D78/60</f>
        <v>140.05000000000001</v>
      </c>
      <c r="F78" s="173">
        <f>+E78/30</f>
        <v>4.6683333333333339</v>
      </c>
      <c r="G78" s="173">
        <f>+F78+1</f>
        <v>5.6683333333333339</v>
      </c>
      <c r="H78" s="175" t="s">
        <v>240</v>
      </c>
    </row>
  </sheetData>
  <protectedRanges>
    <protectedRange sqref="J10 J46" name="Rango1_4_1_2_1_1"/>
  </protectedRanges>
  <mergeCells count="10">
    <mergeCell ref="D59:H59"/>
    <mergeCell ref="C61:H61"/>
    <mergeCell ref="C62:H62"/>
    <mergeCell ref="C63:H63"/>
    <mergeCell ref="B5:J5"/>
    <mergeCell ref="B11:B13"/>
    <mergeCell ref="B14:B33"/>
    <mergeCell ref="B34:B42"/>
    <mergeCell ref="B46:B53"/>
    <mergeCell ref="D57:G57"/>
  </mergeCells>
  <printOptions horizontalCentered="1"/>
  <pageMargins left="0.54" right="0.28000000000000003" top="0.33" bottom="0.3" header="0.31496062992125984" footer="0.31496062992125984"/>
  <pageSetup scale="3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Hoja2!$G$14:$G$16</xm:f>
          </x14:formula1>
          <xm:sqref>D11:D13</xm:sqref>
        </x14:dataValidation>
        <x14:dataValidation type="list" allowBlank="1" showInputMessage="1" showErrorMessage="1" xr:uid="{00000000-0002-0000-0400-000001000000}">
          <x14:formula1>
            <xm:f>Hoja2!$H$14:$H$20</xm:f>
          </x14:formula1>
          <xm:sqref>D14:D33</xm:sqref>
        </x14:dataValidation>
        <x14:dataValidation type="list" allowBlank="1" showInputMessage="1" showErrorMessage="1" xr:uid="{00000000-0002-0000-0400-000002000000}">
          <x14:formula1>
            <xm:f>Hoja2!$I$14:$I$22</xm:f>
          </x14:formula1>
          <xm:sqref>D34:D43</xm:sqref>
        </x14:dataValidation>
        <x14:dataValidation type="list" allowBlank="1" showInputMessage="1" showErrorMessage="1" xr:uid="{00000000-0002-0000-0400-000003000000}">
          <x14:formula1>
            <xm:f>Hoja2!$J$14:$J$20</xm:f>
          </x14:formula1>
          <xm:sqref>D47:D53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FFFF00"/>
    <pageSetUpPr fitToPage="1"/>
  </sheetPr>
  <dimension ref="A5:M78"/>
  <sheetViews>
    <sheetView view="pageBreakPreview" topLeftCell="C54" zoomScale="70" zoomScaleNormal="85" zoomScaleSheetLayoutView="70" workbookViewId="0">
      <pane ySplit="6135" topLeftCell="A61"/>
      <selection activeCell="H58" sqref="H58"/>
      <selection pane="bottomLeft" activeCell="H58" sqref="H58"/>
    </sheetView>
  </sheetViews>
  <sheetFormatPr baseColWidth="10" defaultColWidth="11.42578125" defaultRowHeight="15" x14ac:dyDescent="0.25"/>
  <cols>
    <col min="1" max="1" width="4" style="173" customWidth="1"/>
    <col min="2" max="2" width="48.5703125" style="173" customWidth="1"/>
    <col min="3" max="3" width="60.5703125" style="173" customWidth="1"/>
    <col min="4" max="4" width="17.5703125" style="173" bestFit="1" customWidth="1"/>
    <col min="5" max="5" width="13.42578125" style="173" bestFit="1" customWidth="1"/>
    <col min="6" max="6" width="20" style="173" bestFit="1" customWidth="1"/>
    <col min="7" max="7" width="24.85546875" style="175" customWidth="1"/>
    <col min="8" max="8" width="24" style="175" customWidth="1"/>
    <col min="9" max="9" width="25.5703125" style="175" customWidth="1"/>
    <col min="10" max="10" width="31.42578125" style="175" customWidth="1"/>
    <col min="11" max="11" width="11.42578125" style="174"/>
    <col min="12" max="12" width="22" style="173" bestFit="1" customWidth="1"/>
    <col min="13" max="16384" width="11.42578125" style="173"/>
  </cols>
  <sheetData>
    <row r="5" spans="2:10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  <c r="J5" s="317"/>
    </row>
    <row r="7" spans="2:10" ht="33" customHeight="1" x14ac:dyDescent="0.25">
      <c r="B7" s="231" t="s">
        <v>232</v>
      </c>
    </row>
    <row r="10" spans="2:10" ht="72" customHeight="1" x14ac:dyDescent="0.25">
      <c r="B10" s="221" t="s">
        <v>142</v>
      </c>
      <c r="C10" s="176" t="s">
        <v>144</v>
      </c>
      <c r="D10" s="176" t="s">
        <v>143</v>
      </c>
      <c r="E10" s="176" t="s">
        <v>1</v>
      </c>
      <c r="F10" s="176" t="s">
        <v>208</v>
      </c>
      <c r="G10" s="199" t="s">
        <v>191</v>
      </c>
      <c r="H10" s="179" t="s">
        <v>146</v>
      </c>
      <c r="I10" s="179" t="s">
        <v>229</v>
      </c>
      <c r="J10" s="180" t="s">
        <v>145</v>
      </c>
    </row>
    <row r="11" spans="2:10" x14ac:dyDescent="0.25">
      <c r="B11" s="318" t="s">
        <v>138</v>
      </c>
      <c r="C11" s="181" t="s">
        <v>200</v>
      </c>
      <c r="D11" s="182" t="s">
        <v>165</v>
      </c>
      <c r="E11" s="182">
        <v>1</v>
      </c>
      <c r="F11" s="219">
        <v>0.3</v>
      </c>
      <c r="G11" s="196">
        <f>VLOOKUP(D11,Hoja2!B:D,3,0)</f>
        <v>5862000</v>
      </c>
      <c r="H11" s="245">
        <v>2.19</v>
      </c>
      <c r="I11" s="245">
        <v>11</v>
      </c>
      <c r="J11" s="186">
        <f>+I11*H11*G11*F11*E11</f>
        <v>42364674</v>
      </c>
    </row>
    <row r="12" spans="2:10" hidden="1" x14ac:dyDescent="0.25">
      <c r="B12" s="318"/>
      <c r="C12" s="181" t="s">
        <v>200</v>
      </c>
      <c r="D12" s="182" t="s">
        <v>165</v>
      </c>
      <c r="E12" s="182">
        <v>0</v>
      </c>
      <c r="F12" s="219"/>
      <c r="G12" s="196">
        <f>VLOOKUP(D12,Hoja2!B:D,3,0)</f>
        <v>5862000</v>
      </c>
      <c r="H12" s="245">
        <f>+$H$11</f>
        <v>2.19</v>
      </c>
      <c r="I12" s="245">
        <v>11</v>
      </c>
      <c r="J12" s="186">
        <f t="shared" ref="J12:J42" si="0">+I12*H12*G12*F12*E12</f>
        <v>0</v>
      </c>
    </row>
    <row r="13" spans="2:10" hidden="1" x14ac:dyDescent="0.25">
      <c r="B13" s="318"/>
      <c r="C13" s="181" t="s">
        <v>200</v>
      </c>
      <c r="D13" s="182" t="s">
        <v>166</v>
      </c>
      <c r="E13" s="182">
        <v>0</v>
      </c>
      <c r="F13" s="219"/>
      <c r="G13" s="196">
        <f>VLOOKUP(D13,Hoja2!B:D,3,0)</f>
        <v>4992000</v>
      </c>
      <c r="H13" s="245">
        <f t="shared" ref="H13:H42" si="1">+$H$11</f>
        <v>2.19</v>
      </c>
      <c r="I13" s="245">
        <v>11</v>
      </c>
      <c r="J13" s="186">
        <f t="shared" si="0"/>
        <v>0</v>
      </c>
    </row>
    <row r="14" spans="2:10" ht="62.25" customHeight="1" x14ac:dyDescent="0.25">
      <c r="B14" s="318" t="s">
        <v>68</v>
      </c>
      <c r="C14" s="181" t="s">
        <v>201</v>
      </c>
      <c r="D14" s="182" t="s">
        <v>168</v>
      </c>
      <c r="E14" s="182">
        <v>1</v>
      </c>
      <c r="F14" s="219">
        <v>0.3</v>
      </c>
      <c r="G14" s="196">
        <f>VLOOKUP(D14,Hoja2!B:D,3,0)</f>
        <v>4014000</v>
      </c>
      <c r="H14" s="245">
        <f t="shared" si="1"/>
        <v>2.19</v>
      </c>
      <c r="I14" s="245">
        <v>3</v>
      </c>
      <c r="J14" s="186">
        <f t="shared" si="0"/>
        <v>7911594</v>
      </c>
    </row>
    <row r="15" spans="2:10" ht="41.25" hidden="1" customHeight="1" x14ac:dyDescent="0.25">
      <c r="B15" s="318"/>
      <c r="C15" s="181" t="s">
        <v>202</v>
      </c>
      <c r="D15" s="182" t="s">
        <v>165</v>
      </c>
      <c r="E15" s="182">
        <v>0</v>
      </c>
      <c r="F15" s="219"/>
      <c r="G15" s="196">
        <f>VLOOKUP(D15,Hoja2!B:D,3,0)</f>
        <v>5862000</v>
      </c>
      <c r="H15" s="245">
        <f t="shared" si="1"/>
        <v>2.19</v>
      </c>
      <c r="I15" s="245">
        <v>11</v>
      </c>
      <c r="J15" s="186">
        <f t="shared" si="0"/>
        <v>0</v>
      </c>
    </row>
    <row r="16" spans="2:10" ht="41.25" customHeight="1" x14ac:dyDescent="0.25">
      <c r="B16" s="318"/>
      <c r="C16" s="181" t="s">
        <v>203</v>
      </c>
      <c r="D16" s="182" t="s">
        <v>167</v>
      </c>
      <c r="E16" s="182">
        <v>1</v>
      </c>
      <c r="F16" s="219">
        <v>0.2</v>
      </c>
      <c r="G16" s="196">
        <f>VLOOKUP(D16,Hoja2!B:D,3,0)</f>
        <v>4501000</v>
      </c>
      <c r="H16" s="245">
        <f t="shared" si="1"/>
        <v>2.19</v>
      </c>
      <c r="I16" s="245">
        <v>10</v>
      </c>
      <c r="J16" s="186">
        <f t="shared" si="0"/>
        <v>19714380</v>
      </c>
    </row>
    <row r="17" spans="2:13" ht="41.25" customHeight="1" x14ac:dyDescent="0.25">
      <c r="B17" s="318"/>
      <c r="C17" s="181" t="s">
        <v>204</v>
      </c>
      <c r="D17" s="182" t="s">
        <v>167</v>
      </c>
      <c r="E17" s="182">
        <v>1</v>
      </c>
      <c r="F17" s="219">
        <v>0.2</v>
      </c>
      <c r="G17" s="196">
        <f>VLOOKUP(D17,Hoja2!B:D,3,0)</f>
        <v>4501000</v>
      </c>
      <c r="H17" s="245">
        <f t="shared" si="1"/>
        <v>2.19</v>
      </c>
      <c r="I17" s="245">
        <v>10</v>
      </c>
      <c r="J17" s="186">
        <f t="shared" si="0"/>
        <v>19714380</v>
      </c>
    </row>
    <row r="18" spans="2:13" ht="46.5" customHeight="1" x14ac:dyDescent="0.25">
      <c r="B18" s="318"/>
      <c r="C18" s="181" t="s">
        <v>205</v>
      </c>
      <c r="D18" s="182" t="s">
        <v>167</v>
      </c>
      <c r="E18" s="182">
        <v>1</v>
      </c>
      <c r="F18" s="219">
        <v>0.2</v>
      </c>
      <c r="G18" s="196">
        <f>VLOOKUP(D18,Hoja2!B:D,3,0)</f>
        <v>4501000</v>
      </c>
      <c r="H18" s="245">
        <f t="shared" si="1"/>
        <v>2.19</v>
      </c>
      <c r="I18" s="245">
        <v>10</v>
      </c>
      <c r="J18" s="186">
        <f t="shared" si="0"/>
        <v>19714380</v>
      </c>
    </row>
    <row r="19" spans="2:13" ht="41.25" customHeight="1" x14ac:dyDescent="0.25">
      <c r="B19" s="318"/>
      <c r="C19" s="181" t="s">
        <v>206</v>
      </c>
      <c r="D19" s="182" t="s">
        <v>167</v>
      </c>
      <c r="E19" s="182">
        <v>1</v>
      </c>
      <c r="F19" s="219">
        <v>0.2</v>
      </c>
      <c r="G19" s="196">
        <f>VLOOKUP(D19,Hoja2!B:D,3,0)</f>
        <v>4501000</v>
      </c>
      <c r="H19" s="245">
        <f t="shared" si="1"/>
        <v>2.19</v>
      </c>
      <c r="I19" s="245">
        <v>10</v>
      </c>
      <c r="J19" s="186">
        <f t="shared" si="0"/>
        <v>19714380</v>
      </c>
    </row>
    <row r="20" spans="2:13" ht="41.25" customHeight="1" x14ac:dyDescent="0.25">
      <c r="B20" s="318"/>
      <c r="C20" s="181" t="s">
        <v>207</v>
      </c>
      <c r="D20" s="182" t="s">
        <v>167</v>
      </c>
      <c r="E20" s="182">
        <v>1</v>
      </c>
      <c r="F20" s="219">
        <v>0.1</v>
      </c>
      <c r="G20" s="196">
        <f>VLOOKUP(D20,Hoja2!B:D,3,0)</f>
        <v>4501000</v>
      </c>
      <c r="H20" s="245">
        <f t="shared" si="1"/>
        <v>2.19</v>
      </c>
      <c r="I20" s="245">
        <v>10</v>
      </c>
      <c r="J20" s="186">
        <f t="shared" si="0"/>
        <v>9857190</v>
      </c>
    </row>
    <row r="21" spans="2:13" ht="41.25" hidden="1" customHeight="1" x14ac:dyDescent="0.25">
      <c r="B21" s="318"/>
      <c r="C21" s="235" t="s">
        <v>217</v>
      </c>
      <c r="D21" s="182" t="s">
        <v>167</v>
      </c>
      <c r="E21" s="182">
        <v>0</v>
      </c>
      <c r="F21" s="219"/>
      <c r="G21" s="196">
        <f>VLOOKUP(D21,Hoja2!B:D,3,0)</f>
        <v>4501000</v>
      </c>
      <c r="H21" s="245">
        <f t="shared" si="1"/>
        <v>2.19</v>
      </c>
      <c r="I21" s="245">
        <v>11</v>
      </c>
      <c r="J21" s="186">
        <f t="shared" si="0"/>
        <v>0</v>
      </c>
    </row>
    <row r="22" spans="2:13" ht="41.25" hidden="1" customHeight="1" x14ac:dyDescent="0.25">
      <c r="B22" s="318"/>
      <c r="C22" s="235" t="s">
        <v>218</v>
      </c>
      <c r="D22" s="182" t="s">
        <v>166</v>
      </c>
      <c r="E22" s="182">
        <v>0</v>
      </c>
      <c r="F22" s="219"/>
      <c r="G22" s="196">
        <f>VLOOKUP(D22,Hoja2!B:D,3,0)</f>
        <v>4992000</v>
      </c>
      <c r="H22" s="245">
        <f t="shared" si="1"/>
        <v>2.19</v>
      </c>
      <c r="I22" s="245">
        <v>11</v>
      </c>
      <c r="J22" s="186">
        <f t="shared" si="0"/>
        <v>0</v>
      </c>
    </row>
    <row r="23" spans="2:13" ht="41.25" customHeight="1" x14ac:dyDescent="0.25">
      <c r="B23" s="318"/>
      <c r="C23" s="181" t="s">
        <v>219</v>
      </c>
      <c r="D23" s="182" t="s">
        <v>167</v>
      </c>
      <c r="E23" s="182">
        <v>1</v>
      </c>
      <c r="F23" s="219">
        <v>0.1</v>
      </c>
      <c r="G23" s="196">
        <f>VLOOKUP(D23,Hoja2!B:D,3,0)</f>
        <v>4501000</v>
      </c>
      <c r="H23" s="245">
        <f t="shared" si="1"/>
        <v>2.19</v>
      </c>
      <c r="I23" s="245">
        <v>10</v>
      </c>
      <c r="J23" s="186">
        <f t="shared" si="0"/>
        <v>9857190</v>
      </c>
    </row>
    <row r="24" spans="2:13" ht="41.25" hidden="1" customHeight="1" x14ac:dyDescent="0.25">
      <c r="B24" s="318"/>
      <c r="C24" s="181" t="s">
        <v>220</v>
      </c>
      <c r="D24" s="182" t="s">
        <v>165</v>
      </c>
      <c r="E24" s="182">
        <v>0</v>
      </c>
      <c r="F24" s="219"/>
      <c r="G24" s="196">
        <f>VLOOKUP(D24,Hoja2!B:D,3,0)</f>
        <v>5862000</v>
      </c>
      <c r="H24" s="245">
        <f t="shared" si="1"/>
        <v>2.19</v>
      </c>
      <c r="I24" s="245">
        <v>11</v>
      </c>
      <c r="J24" s="186">
        <f t="shared" si="0"/>
        <v>0</v>
      </c>
    </row>
    <row r="25" spans="2:13" ht="41.25" customHeight="1" x14ac:dyDescent="0.25">
      <c r="B25" s="318"/>
      <c r="C25" s="181" t="s">
        <v>228</v>
      </c>
      <c r="D25" s="182" t="s">
        <v>167</v>
      </c>
      <c r="E25" s="182">
        <v>1</v>
      </c>
      <c r="F25" s="219">
        <v>0.05</v>
      </c>
      <c r="G25" s="196">
        <f>VLOOKUP(D25,Hoja2!B:D,3,0)</f>
        <v>4501000</v>
      </c>
      <c r="H25" s="245">
        <f t="shared" si="1"/>
        <v>2.19</v>
      </c>
      <c r="I25" s="245">
        <v>10</v>
      </c>
      <c r="J25" s="186">
        <f t="shared" si="0"/>
        <v>4928595</v>
      </c>
    </row>
    <row r="26" spans="2:13" ht="41.25" customHeight="1" x14ac:dyDescent="0.25">
      <c r="B26" s="318"/>
      <c r="C26" s="181" t="s">
        <v>221</v>
      </c>
      <c r="D26" s="182" t="s">
        <v>167</v>
      </c>
      <c r="E26" s="182">
        <v>1</v>
      </c>
      <c r="F26" s="219">
        <v>1</v>
      </c>
      <c r="G26" s="196">
        <f>VLOOKUP(D26,Hoja2!B:D,3,0)</f>
        <v>4501000</v>
      </c>
      <c r="H26" s="245">
        <f t="shared" si="1"/>
        <v>2.19</v>
      </c>
      <c r="I26" s="245">
        <v>7</v>
      </c>
      <c r="J26" s="186">
        <f t="shared" si="0"/>
        <v>69000330</v>
      </c>
    </row>
    <row r="27" spans="2:13" ht="41.25" customHeight="1" x14ac:dyDescent="0.25">
      <c r="B27" s="318"/>
      <c r="C27" s="181" t="s">
        <v>222</v>
      </c>
      <c r="D27" s="182" t="s">
        <v>167</v>
      </c>
      <c r="E27" s="182">
        <v>1</v>
      </c>
      <c r="F27" s="219">
        <v>1</v>
      </c>
      <c r="G27" s="196">
        <f>VLOOKUP(D27,Hoja2!B:D,3,0)</f>
        <v>4501000</v>
      </c>
      <c r="H27" s="245">
        <f t="shared" si="1"/>
        <v>2.19</v>
      </c>
      <c r="I27" s="245">
        <v>10</v>
      </c>
      <c r="J27" s="186">
        <f t="shared" si="0"/>
        <v>98571900</v>
      </c>
    </row>
    <row r="28" spans="2:13" ht="41.25" hidden="1" customHeight="1" x14ac:dyDescent="0.25">
      <c r="B28" s="318"/>
      <c r="C28" s="181" t="s">
        <v>223</v>
      </c>
      <c r="D28" s="182" t="s">
        <v>167</v>
      </c>
      <c r="E28" s="182">
        <v>0</v>
      </c>
      <c r="F28" s="219">
        <v>0</v>
      </c>
      <c r="G28" s="196">
        <f>VLOOKUP(D28,Hoja2!B:D,3,0)</f>
        <v>4501000</v>
      </c>
      <c r="H28" s="245">
        <f t="shared" si="1"/>
        <v>2.19</v>
      </c>
      <c r="I28" s="245">
        <v>11</v>
      </c>
      <c r="J28" s="186">
        <f t="shared" si="0"/>
        <v>0</v>
      </c>
    </row>
    <row r="29" spans="2:13" ht="41.25" hidden="1" customHeight="1" x14ac:dyDescent="0.25">
      <c r="B29" s="318"/>
      <c r="C29" s="181" t="s">
        <v>224</v>
      </c>
      <c r="D29" s="182" t="s">
        <v>165</v>
      </c>
      <c r="E29" s="182">
        <v>0</v>
      </c>
      <c r="F29" s="219">
        <v>0</v>
      </c>
      <c r="G29" s="196">
        <f>VLOOKUP(D29,Hoja2!B:D,3,0)</f>
        <v>5862000</v>
      </c>
      <c r="H29" s="245">
        <f t="shared" si="1"/>
        <v>2.19</v>
      </c>
      <c r="I29" s="245">
        <v>11</v>
      </c>
      <c r="J29" s="186">
        <f t="shared" si="0"/>
        <v>0</v>
      </c>
    </row>
    <row r="30" spans="2:13" ht="41.25" hidden="1" customHeight="1" x14ac:dyDescent="0.25">
      <c r="B30" s="318"/>
      <c r="C30" s="181" t="s">
        <v>225</v>
      </c>
      <c r="D30" s="182" t="s">
        <v>167</v>
      </c>
      <c r="E30" s="182">
        <v>0</v>
      </c>
      <c r="F30" s="219">
        <v>0</v>
      </c>
      <c r="G30" s="196">
        <f>VLOOKUP(D30,Hoja2!B:D,3,0)</f>
        <v>4501000</v>
      </c>
      <c r="H30" s="245">
        <f t="shared" si="1"/>
        <v>2.19</v>
      </c>
      <c r="I30" s="245">
        <v>11</v>
      </c>
      <c r="J30" s="186">
        <f t="shared" si="0"/>
        <v>0</v>
      </c>
    </row>
    <row r="31" spans="2:13" ht="41.25" customHeight="1" x14ac:dyDescent="0.25">
      <c r="B31" s="318"/>
      <c r="C31" s="181" t="s">
        <v>230</v>
      </c>
      <c r="D31" s="182" t="s">
        <v>137</v>
      </c>
      <c r="E31" s="182">
        <v>1</v>
      </c>
      <c r="F31" s="219">
        <v>1</v>
      </c>
      <c r="G31" s="196">
        <f>VLOOKUP(D31,Hoja2!B:D,3,0)</f>
        <v>2864000</v>
      </c>
      <c r="H31" s="245">
        <f t="shared" si="1"/>
        <v>2.19</v>
      </c>
      <c r="I31" s="245">
        <v>7</v>
      </c>
      <c r="J31" s="186">
        <f>+I31*H31*G31*F31*E31</f>
        <v>43905120</v>
      </c>
      <c r="L31" s="175">
        <v>4603700000</v>
      </c>
      <c r="M31" s="173">
        <v>100</v>
      </c>
    </row>
    <row r="32" spans="2:13" ht="41.25" hidden="1" customHeight="1" x14ac:dyDescent="0.25">
      <c r="B32" s="318"/>
      <c r="C32" s="181" t="s">
        <v>226</v>
      </c>
      <c r="D32" s="182" t="s">
        <v>168</v>
      </c>
      <c r="E32" s="182">
        <v>0</v>
      </c>
      <c r="F32" s="219">
        <v>0</v>
      </c>
      <c r="G32" s="196">
        <f>VLOOKUP(D32,Hoja2!B:D,3,0)</f>
        <v>4014000</v>
      </c>
      <c r="H32" s="245">
        <f t="shared" si="1"/>
        <v>2.19</v>
      </c>
      <c r="I32" s="245">
        <v>9</v>
      </c>
      <c r="J32" s="186">
        <f t="shared" si="0"/>
        <v>0</v>
      </c>
      <c r="L32" s="175">
        <v>406305835</v>
      </c>
      <c r="M32" s="248">
        <f>+L32*M31/L31</f>
        <v>8.825636661815496</v>
      </c>
    </row>
    <row r="33" spans="1:12" ht="41.25" customHeight="1" x14ac:dyDescent="0.25">
      <c r="B33" s="318"/>
      <c r="C33" s="181" t="s">
        <v>227</v>
      </c>
      <c r="D33" s="182" t="s">
        <v>168</v>
      </c>
      <c r="E33" s="182">
        <v>1</v>
      </c>
      <c r="F33" s="219">
        <v>0.2</v>
      </c>
      <c r="G33" s="196">
        <f>VLOOKUP(D33,Hoja2!B:D,3,0)</f>
        <v>4014000</v>
      </c>
      <c r="H33" s="245">
        <f t="shared" si="1"/>
        <v>2.19</v>
      </c>
      <c r="I33" s="245">
        <v>7</v>
      </c>
      <c r="J33" s="186">
        <f t="shared" si="0"/>
        <v>12306924</v>
      </c>
    </row>
    <row r="34" spans="1:12" ht="41.1" customHeight="1" x14ac:dyDescent="0.25">
      <c r="B34" s="319" t="s">
        <v>140</v>
      </c>
      <c r="C34" s="181" t="s">
        <v>136</v>
      </c>
      <c r="D34" s="182" t="s">
        <v>170</v>
      </c>
      <c r="E34" s="182">
        <v>1</v>
      </c>
      <c r="F34" s="219">
        <v>0.1</v>
      </c>
      <c r="G34" s="198">
        <f>VLOOKUP(D34,Hoja2!B:D,3,0)</f>
        <v>2165000</v>
      </c>
      <c r="H34" s="245">
        <f t="shared" si="1"/>
        <v>2.19</v>
      </c>
      <c r="I34" s="245">
        <v>7</v>
      </c>
      <c r="J34" s="186">
        <f t="shared" si="0"/>
        <v>3318945</v>
      </c>
    </row>
    <row r="35" spans="1:12" ht="41.1" hidden="1" customHeight="1" x14ac:dyDescent="0.25">
      <c r="B35" s="320"/>
      <c r="C35" s="181" t="s">
        <v>72</v>
      </c>
      <c r="D35" s="182" t="s">
        <v>171</v>
      </c>
      <c r="E35" s="182">
        <v>0</v>
      </c>
      <c r="F35" s="219">
        <v>1</v>
      </c>
      <c r="G35" s="198">
        <f>VLOOKUP(D35,Hoja2!B:D,3,0)</f>
        <v>2078000</v>
      </c>
      <c r="H35" s="245">
        <f t="shared" si="1"/>
        <v>2.19</v>
      </c>
      <c r="I35" s="245">
        <v>0</v>
      </c>
      <c r="J35" s="186">
        <f t="shared" si="0"/>
        <v>0</v>
      </c>
    </row>
    <row r="36" spans="1:12" ht="41.1" hidden="1" customHeight="1" x14ac:dyDescent="0.25">
      <c r="B36" s="320"/>
      <c r="C36" s="181" t="s">
        <v>135</v>
      </c>
      <c r="D36" s="182" t="s">
        <v>172</v>
      </c>
      <c r="E36" s="182">
        <v>0</v>
      </c>
      <c r="F36" s="219">
        <v>0.2</v>
      </c>
      <c r="G36" s="198">
        <f>VLOOKUP(D36,Hoja2!B:D,3,0)</f>
        <v>1916000</v>
      </c>
      <c r="H36" s="245">
        <f t="shared" si="1"/>
        <v>2.19</v>
      </c>
      <c r="I36" s="245">
        <v>0</v>
      </c>
      <c r="J36" s="186">
        <f t="shared" si="0"/>
        <v>0</v>
      </c>
    </row>
    <row r="37" spans="1:12" ht="41.1" hidden="1" customHeight="1" x14ac:dyDescent="0.25">
      <c r="B37" s="320"/>
      <c r="C37" s="181" t="s">
        <v>73</v>
      </c>
      <c r="D37" s="182" t="s">
        <v>173</v>
      </c>
      <c r="E37" s="182">
        <v>0</v>
      </c>
      <c r="F37" s="219">
        <v>0.2</v>
      </c>
      <c r="G37" s="198">
        <f>VLOOKUP(D37,Hoja2!B:D,3,0)</f>
        <v>1827000</v>
      </c>
      <c r="H37" s="245">
        <f t="shared" si="1"/>
        <v>2.19</v>
      </c>
      <c r="I37" s="245">
        <v>0</v>
      </c>
      <c r="J37" s="186">
        <f t="shared" si="0"/>
        <v>0</v>
      </c>
    </row>
    <row r="38" spans="1:12" ht="41.1" hidden="1" customHeight="1" x14ac:dyDescent="0.25">
      <c r="B38" s="320"/>
      <c r="C38" s="181" t="s">
        <v>75</v>
      </c>
      <c r="D38" s="182" t="s">
        <v>174</v>
      </c>
      <c r="E38" s="182">
        <v>0</v>
      </c>
      <c r="F38" s="219"/>
      <c r="G38" s="198">
        <f>VLOOKUP(D38,Hoja2!B:D,3,0)</f>
        <v>1777000</v>
      </c>
      <c r="H38" s="245">
        <f t="shared" si="1"/>
        <v>2.19</v>
      </c>
      <c r="I38" s="245">
        <v>11</v>
      </c>
      <c r="J38" s="186">
        <f t="shared" si="0"/>
        <v>0</v>
      </c>
    </row>
    <row r="39" spans="1:12" ht="41.1" hidden="1" customHeight="1" x14ac:dyDescent="0.25">
      <c r="B39" s="320"/>
      <c r="C39" s="181" t="s">
        <v>134</v>
      </c>
      <c r="D39" s="182" t="s">
        <v>175</v>
      </c>
      <c r="E39" s="182">
        <v>0</v>
      </c>
      <c r="F39" s="219"/>
      <c r="G39" s="198">
        <f>VLOOKUP(D39,Hoja2!B:D,3,0)</f>
        <v>1576000</v>
      </c>
      <c r="H39" s="245">
        <f t="shared" si="1"/>
        <v>2.19</v>
      </c>
      <c r="I39" s="245">
        <v>11</v>
      </c>
      <c r="J39" s="186">
        <f t="shared" si="0"/>
        <v>0</v>
      </c>
    </row>
    <row r="40" spans="1:12" ht="41.1" customHeight="1" x14ac:dyDescent="0.25">
      <c r="B40" s="320"/>
      <c r="C40" s="181" t="s">
        <v>74</v>
      </c>
      <c r="D40" s="182" t="s">
        <v>176</v>
      </c>
      <c r="E40" s="182">
        <v>1</v>
      </c>
      <c r="F40" s="219">
        <v>1</v>
      </c>
      <c r="G40" s="198">
        <f>VLOOKUP(D40,Hoja2!B:D,3,0)</f>
        <v>1548000</v>
      </c>
      <c r="H40" s="245">
        <f t="shared" si="1"/>
        <v>2.19</v>
      </c>
      <c r="I40" s="245">
        <v>7</v>
      </c>
      <c r="J40" s="186">
        <f t="shared" si="0"/>
        <v>23730840</v>
      </c>
    </row>
    <row r="41" spans="1:12" ht="41.1" hidden="1" customHeight="1" x14ac:dyDescent="0.25">
      <c r="B41" s="320"/>
      <c r="C41" s="181" t="s">
        <v>77</v>
      </c>
      <c r="D41" s="182" t="s">
        <v>176</v>
      </c>
      <c r="E41" s="182">
        <v>0</v>
      </c>
      <c r="F41" s="219"/>
      <c r="G41" s="198">
        <f>VLOOKUP(D41,Hoja2!B:D,3,0)</f>
        <v>1548000</v>
      </c>
      <c r="H41" s="245">
        <f t="shared" si="1"/>
        <v>2.19</v>
      </c>
      <c r="I41" s="245">
        <v>11</v>
      </c>
      <c r="J41" s="186">
        <f t="shared" si="0"/>
        <v>0</v>
      </c>
    </row>
    <row r="42" spans="1:12" ht="41.1" customHeight="1" x14ac:dyDescent="0.25">
      <c r="B42" s="321"/>
      <c r="C42" s="181" t="s">
        <v>179</v>
      </c>
      <c r="D42" s="182" t="s">
        <v>178</v>
      </c>
      <c r="E42" s="182">
        <v>1</v>
      </c>
      <c r="F42" s="219">
        <v>0.1</v>
      </c>
      <c r="G42" s="198">
        <f>VLOOKUP(D42,Hoja2!B:D,3,0)</f>
        <v>1343000</v>
      </c>
      <c r="H42" s="245">
        <f t="shared" si="1"/>
        <v>2.19</v>
      </c>
      <c r="I42" s="245">
        <v>11</v>
      </c>
      <c r="J42" s="186">
        <f t="shared" si="0"/>
        <v>3235287</v>
      </c>
    </row>
    <row r="43" spans="1:12" ht="12.75" customHeight="1" x14ac:dyDescent="0.25">
      <c r="B43" s="207"/>
      <c r="D43" s="205"/>
      <c r="E43" s="205"/>
      <c r="F43" s="205"/>
      <c r="G43" s="208"/>
      <c r="H43" s="209"/>
      <c r="I43" s="209"/>
      <c r="J43" s="210"/>
    </row>
    <row r="44" spans="1:12" ht="33.75" customHeight="1" x14ac:dyDescent="0.25">
      <c r="B44" s="223" t="s">
        <v>210</v>
      </c>
      <c r="C44" s="223"/>
      <c r="D44" s="223"/>
      <c r="E44" s="223"/>
      <c r="F44" s="223"/>
      <c r="G44" s="224"/>
      <c r="H44" s="224"/>
      <c r="I44" s="224"/>
      <c r="J44" s="224">
        <f>SUM(J11:J43)</f>
        <v>407846109</v>
      </c>
    </row>
    <row r="45" spans="1:12" ht="9" customHeight="1" x14ac:dyDescent="0.25"/>
    <row r="46" spans="1:12" ht="44.25" customHeight="1" x14ac:dyDescent="0.25">
      <c r="B46" s="319" t="s">
        <v>163</v>
      </c>
      <c r="C46" s="194" t="s">
        <v>157</v>
      </c>
      <c r="D46" s="194" t="s">
        <v>156</v>
      </c>
      <c r="E46" s="176" t="s">
        <v>1</v>
      </c>
      <c r="F46" s="176" t="s">
        <v>208</v>
      </c>
      <c r="G46" s="194" t="s">
        <v>192</v>
      </c>
      <c r="H46" s="194" t="s">
        <v>193</v>
      </c>
      <c r="I46" s="194" t="s">
        <v>216</v>
      </c>
      <c r="J46" s="180" t="s">
        <v>145</v>
      </c>
    </row>
    <row r="47" spans="1:12" s="174" customFormat="1" ht="35.25" customHeight="1" x14ac:dyDescent="0.25">
      <c r="A47" s="173"/>
      <c r="B47" s="320"/>
      <c r="C47" s="189" t="s">
        <v>147</v>
      </c>
      <c r="D47" s="182" t="s">
        <v>148</v>
      </c>
      <c r="E47" s="182">
        <v>1</v>
      </c>
      <c r="F47" s="219">
        <v>0.1</v>
      </c>
      <c r="G47" s="246">
        <f>VLOOKUP(D47,Hoja2!B:D,2,0)</f>
        <v>94900</v>
      </c>
      <c r="H47" s="196">
        <f>VLOOKUP(D47,Hoja2!B:D,3,0)</f>
        <v>2876000</v>
      </c>
      <c r="I47" s="185">
        <v>10</v>
      </c>
      <c r="J47" s="220">
        <f>+I47*H47*F47*E47</f>
        <v>2876000</v>
      </c>
      <c r="L47" s="173"/>
    </row>
    <row r="48" spans="1:12" s="174" customFormat="1" ht="42.75" hidden="1" customHeight="1" x14ac:dyDescent="0.25">
      <c r="A48" s="173"/>
      <c r="B48" s="320"/>
      <c r="C48" s="189" t="s">
        <v>150</v>
      </c>
      <c r="D48" s="182" t="s">
        <v>151</v>
      </c>
      <c r="E48" s="182">
        <v>1</v>
      </c>
      <c r="F48" s="219">
        <v>0</v>
      </c>
      <c r="G48" s="246">
        <f>VLOOKUP(D48,Hoja2!B:D,2,0)</f>
        <v>148533</v>
      </c>
      <c r="H48" s="196">
        <f>VLOOKUP(D48,Hoja2!B:D,3,0)</f>
        <v>4485000</v>
      </c>
      <c r="I48" s="185">
        <v>11</v>
      </c>
      <c r="J48" s="220">
        <f t="shared" ref="J48:J53" si="2">+I48*H48*F48*E48</f>
        <v>0</v>
      </c>
      <c r="L48" s="173"/>
    </row>
    <row r="49" spans="1:12" s="174" customFormat="1" ht="35.25" customHeight="1" x14ac:dyDescent="0.25">
      <c r="A49" s="173"/>
      <c r="B49" s="320"/>
      <c r="C49" s="189" t="s">
        <v>66</v>
      </c>
      <c r="D49" s="182" t="s">
        <v>151</v>
      </c>
      <c r="E49" s="182">
        <v>1</v>
      </c>
      <c r="F49" s="219">
        <v>0.2</v>
      </c>
      <c r="G49" s="246">
        <f>VLOOKUP(D49,Hoja2!B:D,2,0)</f>
        <v>148533</v>
      </c>
      <c r="H49" s="196">
        <f>VLOOKUP(D49,Hoja2!B:D,3,0)</f>
        <v>4485000</v>
      </c>
      <c r="I49" s="185">
        <v>4</v>
      </c>
      <c r="J49" s="220">
        <f>+I49*H49*F49*E49</f>
        <v>3588000</v>
      </c>
      <c r="L49" s="173"/>
    </row>
    <row r="50" spans="1:12" s="174" customFormat="1" ht="35.25" hidden="1" customHeight="1" x14ac:dyDescent="0.25">
      <c r="A50" s="173"/>
      <c r="B50" s="320"/>
      <c r="C50" s="189" t="s">
        <v>67</v>
      </c>
      <c r="D50" s="182" t="s">
        <v>158</v>
      </c>
      <c r="E50" s="182">
        <v>0</v>
      </c>
      <c r="F50" s="219">
        <v>0</v>
      </c>
      <c r="G50" s="246">
        <f>VLOOKUP(D50,Hoja2!B:D,2,0)</f>
        <v>241000</v>
      </c>
      <c r="H50" s="196">
        <f>VLOOKUP(D50,Hoja2!B:D,3,0)</f>
        <v>7270000</v>
      </c>
      <c r="I50" s="185">
        <v>11</v>
      </c>
      <c r="J50" s="220">
        <f t="shared" si="2"/>
        <v>0</v>
      </c>
      <c r="L50" s="173"/>
    </row>
    <row r="51" spans="1:12" s="174" customFormat="1" ht="35.25" hidden="1" customHeight="1" x14ac:dyDescent="0.25">
      <c r="A51" s="173"/>
      <c r="B51" s="320"/>
      <c r="C51" s="189" t="s">
        <v>160</v>
      </c>
      <c r="D51" s="182" t="s">
        <v>159</v>
      </c>
      <c r="E51" s="182">
        <v>0</v>
      </c>
      <c r="F51" s="219">
        <v>0</v>
      </c>
      <c r="G51" s="246">
        <f>VLOOKUP(D51,Hoja2!B:D,2,0)</f>
        <v>329000</v>
      </c>
      <c r="H51" s="196">
        <f>VLOOKUP(D51,Hoja2!B:D,3,0)</f>
        <v>9897000</v>
      </c>
      <c r="I51" s="185">
        <v>11</v>
      </c>
      <c r="J51" s="220">
        <f t="shared" si="2"/>
        <v>0</v>
      </c>
      <c r="L51" s="173"/>
    </row>
    <row r="52" spans="1:12" s="174" customFormat="1" ht="35.25" hidden="1" customHeight="1" x14ac:dyDescent="0.25">
      <c r="A52" s="173"/>
      <c r="B52" s="320"/>
      <c r="C52" s="189" t="s">
        <v>161</v>
      </c>
      <c r="D52" s="182" t="s">
        <v>152</v>
      </c>
      <c r="E52" s="182">
        <v>0</v>
      </c>
      <c r="F52" s="219">
        <v>0</v>
      </c>
      <c r="G52" s="246">
        <f>VLOOKUP(D52,Hoja2!B:D,2,0)</f>
        <v>190900</v>
      </c>
      <c r="H52" s="196">
        <f>VLOOKUP(D52,Hoja2!B:D,3,0)</f>
        <v>5756000</v>
      </c>
      <c r="I52" s="185">
        <v>11</v>
      </c>
      <c r="J52" s="220">
        <f t="shared" si="2"/>
        <v>0</v>
      </c>
      <c r="L52" s="173"/>
    </row>
    <row r="53" spans="1:12" s="174" customFormat="1" ht="35.25" hidden="1" customHeight="1" x14ac:dyDescent="0.25">
      <c r="A53" s="173"/>
      <c r="B53" s="321"/>
      <c r="C53" s="189" t="s">
        <v>162</v>
      </c>
      <c r="D53" s="182" t="s">
        <v>159</v>
      </c>
      <c r="E53" s="182">
        <v>0</v>
      </c>
      <c r="F53" s="219">
        <v>0</v>
      </c>
      <c r="G53" s="246">
        <f>VLOOKUP(D53,Hoja2!B:D,2,0)</f>
        <v>329000</v>
      </c>
      <c r="H53" s="196">
        <f>VLOOKUP(D53,Hoja2!B:D,3,0)</f>
        <v>9897000</v>
      </c>
      <c r="I53" s="185">
        <v>11</v>
      </c>
      <c r="J53" s="220">
        <f t="shared" si="2"/>
        <v>0</v>
      </c>
      <c r="L53" s="173"/>
    </row>
    <row r="54" spans="1:12" ht="8.25" customHeight="1" x14ac:dyDescent="0.25"/>
    <row r="55" spans="1:12" ht="27.75" customHeight="1" x14ac:dyDescent="0.25">
      <c r="B55" s="223" t="s">
        <v>211</v>
      </c>
      <c r="C55" s="225"/>
      <c r="D55" s="225"/>
      <c r="E55" s="225"/>
      <c r="F55" s="225"/>
      <c r="G55" s="203"/>
      <c r="H55" s="203"/>
      <c r="I55" s="203"/>
      <c r="J55" s="224">
        <f>SUM(J47:J54)</f>
        <v>6464000</v>
      </c>
    </row>
    <row r="56" spans="1:12" ht="16.5" customHeight="1" x14ac:dyDescent="0.25"/>
    <row r="57" spans="1:12" s="174" customFormat="1" ht="83.25" customHeight="1" x14ac:dyDescent="0.25">
      <c r="A57" s="173"/>
      <c r="B57" s="226" t="s">
        <v>212</v>
      </c>
      <c r="C57" s="227" t="s">
        <v>183</v>
      </c>
      <c r="D57" s="322" t="s">
        <v>184</v>
      </c>
      <c r="E57" s="322"/>
      <c r="F57" s="322"/>
      <c r="G57" s="322"/>
      <c r="H57" s="228">
        <v>0.01</v>
      </c>
      <c r="I57" s="228"/>
      <c r="J57" s="224">
        <f>+J44*H57</f>
        <v>4078461.0900000003</v>
      </c>
      <c r="L57" s="173"/>
    </row>
    <row r="58" spans="1:12" s="174" customFormat="1" ht="23.25" customHeight="1" x14ac:dyDescent="0.25">
      <c r="A58" s="173"/>
      <c r="B58" s="173"/>
      <c r="C58" s="173"/>
      <c r="D58" s="173"/>
      <c r="E58" s="173"/>
      <c r="F58" s="173"/>
      <c r="G58" s="217"/>
      <c r="H58" s="217"/>
      <c r="I58" s="217"/>
      <c r="J58" s="218"/>
      <c r="L58" s="173"/>
    </row>
    <row r="59" spans="1:12" s="174" customFormat="1" ht="26.25" customHeight="1" x14ac:dyDescent="0.25">
      <c r="A59" s="173"/>
      <c r="B59" s="226" t="s">
        <v>213</v>
      </c>
      <c r="C59" s="227" t="s">
        <v>186</v>
      </c>
      <c r="D59" s="307"/>
      <c r="E59" s="308"/>
      <c r="F59" s="308"/>
      <c r="G59" s="308"/>
      <c r="H59" s="309"/>
      <c r="I59" s="232"/>
      <c r="J59" s="249">
        <v>0</v>
      </c>
      <c r="L59" s="173"/>
    </row>
    <row r="60" spans="1:12" s="174" customFormat="1" ht="28.5" customHeight="1" x14ac:dyDescent="0.25">
      <c r="A60" s="173"/>
      <c r="B60" s="211"/>
      <c r="C60" s="200"/>
      <c r="D60" s="200"/>
      <c r="E60" s="200"/>
      <c r="F60" s="200"/>
      <c r="G60" s="200"/>
      <c r="H60" s="212"/>
      <c r="I60" s="212"/>
      <c r="J60" s="213"/>
      <c r="L60" s="173"/>
    </row>
    <row r="61" spans="1:12" s="174" customFormat="1" ht="28.5" customHeight="1" x14ac:dyDescent="0.25">
      <c r="A61" s="173"/>
      <c r="B61" s="215" t="s">
        <v>209</v>
      </c>
      <c r="C61" s="310"/>
      <c r="D61" s="311"/>
      <c r="E61" s="311"/>
      <c r="F61" s="311"/>
      <c r="G61" s="311"/>
      <c r="H61" s="312"/>
      <c r="I61" s="222"/>
      <c r="J61" s="214">
        <f>+J59+J57+J55+J44</f>
        <v>418388570.08999997</v>
      </c>
      <c r="L61" s="173"/>
    </row>
    <row r="62" spans="1:12" s="174" customFormat="1" ht="28.5" customHeight="1" x14ac:dyDescent="0.25">
      <c r="A62" s="173"/>
      <c r="B62" s="216" t="s">
        <v>214</v>
      </c>
      <c r="C62" s="323"/>
      <c r="D62" s="323"/>
      <c r="E62" s="323"/>
      <c r="F62" s="323"/>
      <c r="G62" s="323"/>
      <c r="H62" s="323"/>
      <c r="I62" s="247">
        <v>0.19</v>
      </c>
      <c r="J62" s="214">
        <f>+J61*I62</f>
        <v>79493828.317100003</v>
      </c>
      <c r="L62" s="173"/>
    </row>
    <row r="63" spans="1:12" s="174" customFormat="1" ht="28.5" customHeight="1" x14ac:dyDescent="0.25">
      <c r="A63" s="173"/>
      <c r="B63" s="229" t="s">
        <v>215</v>
      </c>
      <c r="C63" s="316"/>
      <c r="D63" s="316"/>
      <c r="E63" s="316"/>
      <c r="F63" s="316"/>
      <c r="G63" s="316"/>
      <c r="H63" s="316"/>
      <c r="I63" s="233"/>
      <c r="J63" s="230">
        <f>ROUND(J62+J61,0)</f>
        <v>497882398</v>
      </c>
      <c r="L63" s="173"/>
    </row>
    <row r="64" spans="1:12" s="174" customFormat="1" ht="30.75" customHeight="1" x14ac:dyDescent="0.25">
      <c r="A64" s="173"/>
      <c r="B64" s="231" t="s">
        <v>180</v>
      </c>
      <c r="C64" s="173"/>
      <c r="D64" s="173"/>
      <c r="E64" s="173"/>
      <c r="F64" s="173"/>
      <c r="G64" s="175"/>
      <c r="H64" s="197"/>
      <c r="I64" s="197"/>
      <c r="J64" s="197"/>
      <c r="L64" s="173"/>
    </row>
    <row r="65" spans="1:12" s="174" customFormat="1" ht="24.75" customHeight="1" x14ac:dyDescent="0.25">
      <c r="A65" s="173"/>
      <c r="B65" s="231" t="s">
        <v>181</v>
      </c>
      <c r="C65" s="173"/>
      <c r="D65" s="173"/>
      <c r="E65" s="173"/>
      <c r="F65" s="173"/>
      <c r="G65" s="175"/>
      <c r="H65" s="197"/>
      <c r="I65" s="197"/>
      <c r="J65" s="197"/>
      <c r="L65" s="173"/>
    </row>
    <row r="66" spans="1:12" s="174" customFormat="1" ht="30" customHeight="1" x14ac:dyDescent="0.25">
      <c r="A66" s="173"/>
      <c r="B66" s="231" t="s">
        <v>188</v>
      </c>
      <c r="C66" s="173"/>
      <c r="D66" s="173"/>
      <c r="E66" s="173"/>
      <c r="F66" s="173"/>
      <c r="G66" s="175"/>
      <c r="H66" s="175"/>
      <c r="I66" s="175"/>
      <c r="J66" s="175"/>
      <c r="L66" s="173"/>
    </row>
    <row r="72" spans="1:12" ht="19.5" customHeight="1" x14ac:dyDescent="0.25">
      <c r="B72" s="200" t="s">
        <v>198</v>
      </c>
    </row>
    <row r="73" spans="1:12" ht="18" x14ac:dyDescent="0.25">
      <c r="B73" s="201"/>
    </row>
    <row r="74" spans="1:12" ht="18" customHeight="1" x14ac:dyDescent="0.25">
      <c r="B74" s="202"/>
    </row>
    <row r="75" spans="1:12" ht="18" x14ac:dyDescent="0.25">
      <c r="B75" s="202"/>
    </row>
    <row r="78" spans="1:12" x14ac:dyDescent="0.25">
      <c r="D78" s="173">
        <v>4603</v>
      </c>
      <c r="E78" s="173">
        <f>+D78/60</f>
        <v>76.716666666666669</v>
      </c>
      <c r="F78" s="173">
        <f>+E78/30</f>
        <v>2.5572222222222223</v>
      </c>
      <c r="G78" s="173">
        <f>+F78+1</f>
        <v>3.5572222222222223</v>
      </c>
      <c r="H78" s="175">
        <f>5+3</f>
        <v>8</v>
      </c>
      <c r="I78" s="175">
        <f>+H78+1</f>
        <v>9</v>
      </c>
    </row>
  </sheetData>
  <protectedRanges>
    <protectedRange sqref="J10 J46" name="Rango1_4_1_2_1_1"/>
  </protectedRanges>
  <autoFilter ref="A10:L42" xr:uid="{00000000-0009-0000-0000-000005000000}">
    <filterColumn colId="5">
      <customFilters>
        <customFilter operator="notEqual" val=" "/>
      </customFilters>
    </filterColumn>
  </autoFilter>
  <mergeCells count="10">
    <mergeCell ref="B34:B42"/>
    <mergeCell ref="B46:B53"/>
    <mergeCell ref="B5:J5"/>
    <mergeCell ref="B11:B13"/>
    <mergeCell ref="B14:B33"/>
    <mergeCell ref="C63:H63"/>
    <mergeCell ref="D57:G57"/>
    <mergeCell ref="D59:H59"/>
    <mergeCell ref="C61:H61"/>
    <mergeCell ref="C62:H62"/>
  </mergeCells>
  <printOptions horizontalCentered="1"/>
  <pageMargins left="0.54" right="0.28000000000000003" top="0.33" bottom="0.3" header="0.31496062992125984" footer="0.31496062992125984"/>
  <pageSetup scale="3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0000000}">
          <x14:formula1>
            <xm:f>Hoja2!$G$14:$G$16</xm:f>
          </x14:formula1>
          <xm:sqref>D11:D13</xm:sqref>
        </x14:dataValidation>
        <x14:dataValidation type="list" allowBlank="1" showInputMessage="1" showErrorMessage="1" xr:uid="{00000000-0002-0000-0500-000001000000}">
          <x14:formula1>
            <xm:f>Hoja2!$H$14:$H$20</xm:f>
          </x14:formula1>
          <xm:sqref>D14:D33</xm:sqref>
        </x14:dataValidation>
        <x14:dataValidation type="list" allowBlank="1" showInputMessage="1" showErrorMessage="1" xr:uid="{00000000-0002-0000-0500-000002000000}">
          <x14:formula1>
            <xm:f>Hoja2!$I$14:$I$22</xm:f>
          </x14:formula1>
          <xm:sqref>D34:D43</xm:sqref>
        </x14:dataValidation>
        <x14:dataValidation type="list" allowBlank="1" showInputMessage="1" showErrorMessage="1" xr:uid="{00000000-0002-0000-0500-000003000000}">
          <x14:formula1>
            <xm:f>Hoja2!$J$14:$J$20</xm:f>
          </x14:formula1>
          <xm:sqref>D47:D53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5:L77"/>
  <sheetViews>
    <sheetView view="pageBreakPreview" topLeftCell="A14" zoomScale="70" zoomScaleNormal="85" zoomScaleSheetLayoutView="70" workbookViewId="0">
      <pane ySplit="6105" topLeftCell="A34"/>
      <selection activeCell="H58" sqref="H58"/>
      <selection pane="bottomLeft" activeCell="H58" sqref="H58"/>
    </sheetView>
  </sheetViews>
  <sheetFormatPr baseColWidth="10" defaultColWidth="11.42578125" defaultRowHeight="15" x14ac:dyDescent="0.25"/>
  <cols>
    <col min="1" max="1" width="4" style="173" customWidth="1"/>
    <col min="2" max="2" width="48.5703125" style="173" customWidth="1"/>
    <col min="3" max="3" width="60.5703125" style="234" customWidth="1"/>
    <col min="4" max="4" width="17.5703125" style="173" bestFit="1" customWidth="1"/>
    <col min="5" max="5" width="13.42578125" style="173" bestFit="1" customWidth="1"/>
    <col min="6" max="6" width="20" style="173" bestFit="1" customWidth="1"/>
    <col min="7" max="7" width="24.85546875" style="175" customWidth="1"/>
    <col min="8" max="8" width="24" style="175" customWidth="1"/>
    <col min="9" max="9" width="25.5703125" style="175" customWidth="1"/>
    <col min="10" max="10" width="31.42578125" style="175" customWidth="1"/>
    <col min="11" max="11" width="11.42578125" style="174"/>
    <col min="12" max="12" width="15.5703125" style="173" bestFit="1" customWidth="1"/>
    <col min="13" max="16384" width="11.42578125" style="173"/>
  </cols>
  <sheetData>
    <row r="5" spans="2:10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  <c r="J5" s="317"/>
    </row>
    <row r="7" spans="2:10" ht="33" customHeight="1" x14ac:dyDescent="0.25">
      <c r="B7" s="231" t="s">
        <v>231</v>
      </c>
    </row>
    <row r="10" spans="2:10" ht="72" customHeight="1" x14ac:dyDescent="0.25">
      <c r="B10" s="221" t="s">
        <v>142</v>
      </c>
      <c r="C10" s="236" t="s">
        <v>144</v>
      </c>
      <c r="D10" s="176" t="s">
        <v>143</v>
      </c>
      <c r="E10" s="176" t="s">
        <v>1</v>
      </c>
      <c r="F10" s="176" t="s">
        <v>208</v>
      </c>
      <c r="G10" s="199" t="s">
        <v>191</v>
      </c>
      <c r="H10" s="179" t="s">
        <v>146</v>
      </c>
      <c r="I10" s="179" t="s">
        <v>229</v>
      </c>
      <c r="J10" s="180" t="s">
        <v>145</v>
      </c>
    </row>
    <row r="11" spans="2:10" ht="50.25" customHeight="1" x14ac:dyDescent="0.25">
      <c r="B11" s="318" t="s">
        <v>138</v>
      </c>
      <c r="C11" s="244" t="s">
        <v>200</v>
      </c>
      <c r="D11" s="182" t="s">
        <v>165</v>
      </c>
      <c r="E11" s="182">
        <v>1</v>
      </c>
      <c r="F11" s="219">
        <v>0.3</v>
      </c>
      <c r="G11" s="196">
        <f>VLOOKUP(D11,Hoja2!B:D,3,0)</f>
        <v>5862000</v>
      </c>
      <c r="H11" s="245">
        <v>2.19</v>
      </c>
      <c r="I11" s="245">
        <v>9</v>
      </c>
      <c r="J11" s="186">
        <f>+I11*H11*G11*F11*E11</f>
        <v>34662006</v>
      </c>
    </row>
    <row r="12" spans="2:10" ht="36.75" hidden="1" customHeight="1" x14ac:dyDescent="0.25">
      <c r="B12" s="318"/>
      <c r="C12" s="244" t="s">
        <v>200</v>
      </c>
      <c r="D12" s="182" t="s">
        <v>165</v>
      </c>
      <c r="E12" s="182">
        <v>0</v>
      </c>
      <c r="F12" s="219"/>
      <c r="G12" s="196">
        <f>VLOOKUP(D12,Hoja2!B:D,3,0)</f>
        <v>5862000</v>
      </c>
      <c r="H12" s="245">
        <f>+$H$11</f>
        <v>2.19</v>
      </c>
      <c r="I12" s="245">
        <v>0</v>
      </c>
      <c r="J12" s="186">
        <f t="shared" ref="J12:J42" si="0">+I12*H12*G12*F12*E12</f>
        <v>0</v>
      </c>
    </row>
    <row r="13" spans="2:10" ht="41.25" hidden="1" customHeight="1" x14ac:dyDescent="0.25">
      <c r="B13" s="318"/>
      <c r="C13" s="244" t="s">
        <v>200</v>
      </c>
      <c r="D13" s="182" t="s">
        <v>166</v>
      </c>
      <c r="E13" s="182">
        <v>0</v>
      </c>
      <c r="F13" s="219"/>
      <c r="G13" s="196">
        <f>VLOOKUP(D13,Hoja2!B:D,3,0)</f>
        <v>4992000</v>
      </c>
      <c r="H13" s="245">
        <f t="shared" ref="H13:H42" si="1">+$H$11</f>
        <v>2.19</v>
      </c>
      <c r="I13" s="245">
        <v>0</v>
      </c>
      <c r="J13" s="186">
        <f t="shared" si="0"/>
        <v>0</v>
      </c>
    </row>
    <row r="14" spans="2:10" ht="62.25" customHeight="1" x14ac:dyDescent="0.25">
      <c r="B14" s="318" t="s">
        <v>68</v>
      </c>
      <c r="C14" s="244" t="s">
        <v>201</v>
      </c>
      <c r="D14" s="182" t="s">
        <v>168</v>
      </c>
      <c r="E14" s="182">
        <v>1</v>
      </c>
      <c r="F14" s="219">
        <v>0.2</v>
      </c>
      <c r="G14" s="196">
        <f>VLOOKUP(D14,Hoja2!B:D,3,0)</f>
        <v>4014000</v>
      </c>
      <c r="H14" s="245">
        <f t="shared" si="1"/>
        <v>2.19</v>
      </c>
      <c r="I14" s="245">
        <v>3</v>
      </c>
      <c r="J14" s="186">
        <f t="shared" si="0"/>
        <v>5274396</v>
      </c>
    </row>
    <row r="15" spans="2:10" ht="41.25" hidden="1" customHeight="1" x14ac:dyDescent="0.25">
      <c r="B15" s="318"/>
      <c r="C15" s="244" t="s">
        <v>202</v>
      </c>
      <c r="D15" s="182" t="s">
        <v>165</v>
      </c>
      <c r="E15" s="182">
        <v>0</v>
      </c>
      <c r="F15" s="219"/>
      <c r="G15" s="196">
        <f>VLOOKUP(D15,Hoja2!B:D,3,0)</f>
        <v>5862000</v>
      </c>
      <c r="H15" s="245">
        <f t="shared" si="1"/>
        <v>2.19</v>
      </c>
      <c r="I15" s="245">
        <v>0</v>
      </c>
      <c r="J15" s="186">
        <f t="shared" si="0"/>
        <v>0</v>
      </c>
    </row>
    <row r="16" spans="2:10" ht="41.25" customHeight="1" x14ac:dyDescent="0.25">
      <c r="B16" s="318"/>
      <c r="C16" s="244" t="s">
        <v>203</v>
      </c>
      <c r="D16" s="182" t="s">
        <v>167</v>
      </c>
      <c r="E16" s="182">
        <v>1</v>
      </c>
      <c r="F16" s="219">
        <v>0.1</v>
      </c>
      <c r="G16" s="196">
        <f>VLOOKUP(D16,Hoja2!B:D,3,0)</f>
        <v>4501000</v>
      </c>
      <c r="H16" s="245">
        <f t="shared" si="1"/>
        <v>2.19</v>
      </c>
      <c r="I16" s="245">
        <v>8</v>
      </c>
      <c r="J16" s="186">
        <f t="shared" si="0"/>
        <v>7885752</v>
      </c>
    </row>
    <row r="17" spans="2:10" ht="41.25" customHeight="1" x14ac:dyDescent="0.25">
      <c r="B17" s="318"/>
      <c r="C17" s="244" t="s">
        <v>204</v>
      </c>
      <c r="D17" s="182" t="s">
        <v>167</v>
      </c>
      <c r="E17" s="182">
        <v>1</v>
      </c>
      <c r="F17" s="219">
        <v>0.1</v>
      </c>
      <c r="G17" s="196">
        <f>VLOOKUP(D17,Hoja2!B:D,3,0)</f>
        <v>4501000</v>
      </c>
      <c r="H17" s="245">
        <f t="shared" si="1"/>
        <v>2.19</v>
      </c>
      <c r="I17" s="245">
        <v>8</v>
      </c>
      <c r="J17" s="186">
        <f t="shared" si="0"/>
        <v>7885752</v>
      </c>
    </row>
    <row r="18" spans="2:10" ht="46.5" customHeight="1" x14ac:dyDescent="0.25">
      <c r="B18" s="318"/>
      <c r="C18" s="244" t="s">
        <v>205</v>
      </c>
      <c r="D18" s="182" t="s">
        <v>167</v>
      </c>
      <c r="E18" s="182">
        <v>1</v>
      </c>
      <c r="F18" s="219">
        <v>0.1</v>
      </c>
      <c r="G18" s="196">
        <f>VLOOKUP(D18,Hoja2!B:D,3,0)</f>
        <v>4501000</v>
      </c>
      <c r="H18" s="245">
        <f t="shared" si="1"/>
        <v>2.19</v>
      </c>
      <c r="I18" s="245">
        <v>8</v>
      </c>
      <c r="J18" s="186">
        <f t="shared" si="0"/>
        <v>7885752</v>
      </c>
    </row>
    <row r="19" spans="2:10" ht="41.25" customHeight="1" x14ac:dyDescent="0.25">
      <c r="B19" s="318"/>
      <c r="C19" s="244" t="s">
        <v>206</v>
      </c>
      <c r="D19" s="182" t="s">
        <v>167</v>
      </c>
      <c r="E19" s="182">
        <v>1</v>
      </c>
      <c r="F19" s="219">
        <v>0.1</v>
      </c>
      <c r="G19" s="196">
        <f>VLOOKUP(D19,Hoja2!B:D,3,0)</f>
        <v>4501000</v>
      </c>
      <c r="H19" s="245">
        <f t="shared" si="1"/>
        <v>2.19</v>
      </c>
      <c r="I19" s="245">
        <v>8</v>
      </c>
      <c r="J19" s="186">
        <f t="shared" si="0"/>
        <v>7885752</v>
      </c>
    </row>
    <row r="20" spans="2:10" ht="41.25" customHeight="1" x14ac:dyDescent="0.25">
      <c r="B20" s="318"/>
      <c r="C20" s="244" t="s">
        <v>207</v>
      </c>
      <c r="D20" s="182" t="s">
        <v>167</v>
      </c>
      <c r="E20" s="182">
        <v>1</v>
      </c>
      <c r="F20" s="219">
        <v>0.1</v>
      </c>
      <c r="G20" s="196">
        <f>VLOOKUP(D20,Hoja2!B:D,3,0)</f>
        <v>4501000</v>
      </c>
      <c r="H20" s="245">
        <f t="shared" si="1"/>
        <v>2.19</v>
      </c>
      <c r="I20" s="245">
        <v>8</v>
      </c>
      <c r="J20" s="186">
        <f t="shared" si="0"/>
        <v>7885752</v>
      </c>
    </row>
    <row r="21" spans="2:10" ht="41.25" hidden="1" customHeight="1" x14ac:dyDescent="0.25">
      <c r="B21" s="318"/>
      <c r="C21" s="237" t="s">
        <v>217</v>
      </c>
      <c r="D21" s="182" t="s">
        <v>167</v>
      </c>
      <c r="E21" s="182">
        <v>0</v>
      </c>
      <c r="F21" s="219"/>
      <c r="G21" s="196">
        <f>VLOOKUP(D21,Hoja2!B:D,3,0)</f>
        <v>4501000</v>
      </c>
      <c r="H21" s="245">
        <f t="shared" si="1"/>
        <v>2.19</v>
      </c>
      <c r="I21" s="245">
        <v>0</v>
      </c>
      <c r="J21" s="186">
        <f t="shared" si="0"/>
        <v>0</v>
      </c>
    </row>
    <row r="22" spans="2:10" ht="41.25" hidden="1" customHeight="1" x14ac:dyDescent="0.25">
      <c r="B22" s="318"/>
      <c r="C22" s="237" t="s">
        <v>218</v>
      </c>
      <c r="D22" s="182" t="s">
        <v>166</v>
      </c>
      <c r="E22" s="182">
        <v>0</v>
      </c>
      <c r="F22" s="219"/>
      <c r="G22" s="196">
        <f>VLOOKUP(D22,Hoja2!B:D,3,0)</f>
        <v>4992000</v>
      </c>
      <c r="H22" s="245">
        <f t="shared" si="1"/>
        <v>2.19</v>
      </c>
      <c r="I22" s="245">
        <v>0</v>
      </c>
      <c r="J22" s="186">
        <f t="shared" si="0"/>
        <v>0</v>
      </c>
    </row>
    <row r="23" spans="2:10" ht="41.25" customHeight="1" x14ac:dyDescent="0.25">
      <c r="B23" s="318"/>
      <c r="C23" s="237" t="s">
        <v>219</v>
      </c>
      <c r="D23" s="182" t="s">
        <v>167</v>
      </c>
      <c r="E23" s="182">
        <v>1</v>
      </c>
      <c r="F23" s="219">
        <v>0.1</v>
      </c>
      <c r="G23" s="196">
        <f>VLOOKUP(D23,Hoja2!B:D,3,0)</f>
        <v>4501000</v>
      </c>
      <c r="H23" s="245">
        <f t="shared" si="1"/>
        <v>2.19</v>
      </c>
      <c r="I23" s="245">
        <v>8</v>
      </c>
      <c r="J23" s="186">
        <f t="shared" si="0"/>
        <v>7885752</v>
      </c>
    </row>
    <row r="24" spans="2:10" ht="41.25" hidden="1" customHeight="1" x14ac:dyDescent="0.25">
      <c r="B24" s="318"/>
      <c r="C24" s="237" t="s">
        <v>220</v>
      </c>
      <c r="D24" s="182" t="s">
        <v>165</v>
      </c>
      <c r="E24" s="182">
        <v>0</v>
      </c>
      <c r="F24" s="219"/>
      <c r="G24" s="196">
        <f>VLOOKUP(D24,Hoja2!B:D,3,0)</f>
        <v>5862000</v>
      </c>
      <c r="H24" s="245">
        <f t="shared" si="1"/>
        <v>2.19</v>
      </c>
      <c r="I24" s="245">
        <v>0</v>
      </c>
      <c r="J24" s="186">
        <f t="shared" si="0"/>
        <v>0</v>
      </c>
    </row>
    <row r="25" spans="2:10" ht="41.25" customHeight="1" x14ac:dyDescent="0.25">
      <c r="B25" s="318"/>
      <c r="C25" s="237" t="s">
        <v>228</v>
      </c>
      <c r="D25" s="182" t="s">
        <v>167</v>
      </c>
      <c r="E25" s="182">
        <v>1</v>
      </c>
      <c r="F25" s="219">
        <v>0.05</v>
      </c>
      <c r="G25" s="196">
        <f>VLOOKUP(D25,Hoja2!B:D,3,0)</f>
        <v>4501000</v>
      </c>
      <c r="H25" s="245">
        <f t="shared" si="1"/>
        <v>2.19</v>
      </c>
      <c r="I25" s="245">
        <v>8</v>
      </c>
      <c r="J25" s="186">
        <f t="shared" si="0"/>
        <v>3942876</v>
      </c>
    </row>
    <row r="26" spans="2:10" ht="41.25" customHeight="1" x14ac:dyDescent="0.25">
      <c r="B26" s="318"/>
      <c r="C26" s="237" t="s">
        <v>221</v>
      </c>
      <c r="D26" s="182" t="s">
        <v>167</v>
      </c>
      <c r="E26" s="182">
        <v>1</v>
      </c>
      <c r="F26" s="219">
        <v>1</v>
      </c>
      <c r="G26" s="196">
        <f>VLOOKUP(D26,Hoja2!B:D,3,0)</f>
        <v>4501000</v>
      </c>
      <c r="H26" s="245">
        <f t="shared" si="1"/>
        <v>2.19</v>
      </c>
      <c r="I26" s="245">
        <v>9</v>
      </c>
      <c r="J26" s="186">
        <f t="shared" si="0"/>
        <v>88714710</v>
      </c>
    </row>
    <row r="27" spans="2:10" ht="41.25" customHeight="1" x14ac:dyDescent="0.25">
      <c r="B27" s="318"/>
      <c r="C27" s="237" t="s">
        <v>222</v>
      </c>
      <c r="D27" s="182" t="s">
        <v>167</v>
      </c>
      <c r="E27" s="182">
        <v>1</v>
      </c>
      <c r="F27" s="219">
        <v>0.5</v>
      </c>
      <c r="G27" s="196">
        <f>VLOOKUP(D27,Hoja2!B:D,3,0)</f>
        <v>4501000</v>
      </c>
      <c r="H27" s="245">
        <f t="shared" si="1"/>
        <v>2.19</v>
      </c>
      <c r="I27" s="245">
        <v>8</v>
      </c>
      <c r="J27" s="186">
        <f t="shared" si="0"/>
        <v>39428760</v>
      </c>
    </row>
    <row r="28" spans="2:10" ht="41.25" hidden="1" customHeight="1" x14ac:dyDescent="0.25">
      <c r="B28" s="318"/>
      <c r="C28" s="237" t="s">
        <v>223</v>
      </c>
      <c r="D28" s="182" t="s">
        <v>167</v>
      </c>
      <c r="E28" s="182">
        <v>0</v>
      </c>
      <c r="F28" s="219">
        <v>0</v>
      </c>
      <c r="G28" s="196">
        <f>VLOOKUP(D28,Hoja2!B:D,3,0)</f>
        <v>4501000</v>
      </c>
      <c r="H28" s="245">
        <f t="shared" si="1"/>
        <v>2.19</v>
      </c>
      <c r="I28" s="245">
        <v>0</v>
      </c>
      <c r="J28" s="186">
        <f t="shared" si="0"/>
        <v>0</v>
      </c>
    </row>
    <row r="29" spans="2:10" ht="41.25" hidden="1" customHeight="1" x14ac:dyDescent="0.25">
      <c r="B29" s="318"/>
      <c r="C29" s="237" t="s">
        <v>224</v>
      </c>
      <c r="D29" s="182" t="s">
        <v>165</v>
      </c>
      <c r="E29" s="182">
        <v>0</v>
      </c>
      <c r="F29" s="219">
        <v>0</v>
      </c>
      <c r="G29" s="196">
        <f>VLOOKUP(D29,Hoja2!B:D,3,0)</f>
        <v>5862000</v>
      </c>
      <c r="H29" s="245">
        <f t="shared" si="1"/>
        <v>2.19</v>
      </c>
      <c r="I29" s="245">
        <v>0</v>
      </c>
      <c r="J29" s="186">
        <f t="shared" si="0"/>
        <v>0</v>
      </c>
    </row>
    <row r="30" spans="2:10" ht="41.25" hidden="1" customHeight="1" x14ac:dyDescent="0.25">
      <c r="B30" s="318"/>
      <c r="C30" s="237" t="s">
        <v>225</v>
      </c>
      <c r="D30" s="182" t="s">
        <v>165</v>
      </c>
      <c r="E30" s="182">
        <v>0</v>
      </c>
      <c r="F30" s="219">
        <v>0</v>
      </c>
      <c r="G30" s="196">
        <f>VLOOKUP(D30,Hoja2!B:D,3,0)</f>
        <v>5862000</v>
      </c>
      <c r="H30" s="245">
        <f t="shared" si="1"/>
        <v>2.19</v>
      </c>
      <c r="I30" s="245">
        <v>0</v>
      </c>
      <c r="J30" s="186">
        <f t="shared" si="0"/>
        <v>0</v>
      </c>
    </row>
    <row r="31" spans="2:10" ht="41.25" customHeight="1" x14ac:dyDescent="0.25">
      <c r="B31" s="318"/>
      <c r="C31" s="237" t="s">
        <v>230</v>
      </c>
      <c r="D31" s="182" t="s">
        <v>137</v>
      </c>
      <c r="E31" s="182">
        <v>1</v>
      </c>
      <c r="F31" s="219">
        <v>1</v>
      </c>
      <c r="G31" s="196">
        <f>VLOOKUP(D31,Hoja2!B:D,3,0)</f>
        <v>2864000</v>
      </c>
      <c r="H31" s="245">
        <f t="shared" si="1"/>
        <v>2.19</v>
      </c>
      <c r="I31" s="245">
        <v>5</v>
      </c>
      <c r="J31" s="186">
        <f t="shared" si="0"/>
        <v>31360799.999999996</v>
      </c>
    </row>
    <row r="32" spans="2:10" ht="41.25" hidden="1" customHeight="1" x14ac:dyDescent="0.25">
      <c r="B32" s="318"/>
      <c r="C32" s="237" t="s">
        <v>226</v>
      </c>
      <c r="D32" s="182" t="s">
        <v>168</v>
      </c>
      <c r="E32" s="182">
        <v>0</v>
      </c>
      <c r="F32" s="219">
        <v>0</v>
      </c>
      <c r="G32" s="196">
        <f>VLOOKUP(D32,Hoja2!B:D,3,0)</f>
        <v>4014000</v>
      </c>
      <c r="H32" s="245">
        <f t="shared" si="1"/>
        <v>2.19</v>
      </c>
      <c r="I32" s="245">
        <v>0</v>
      </c>
      <c r="J32" s="186">
        <f t="shared" si="0"/>
        <v>0</v>
      </c>
    </row>
    <row r="33" spans="1:12" ht="41.25" customHeight="1" x14ac:dyDescent="0.25">
      <c r="B33" s="318"/>
      <c r="C33" s="237" t="s">
        <v>227</v>
      </c>
      <c r="D33" s="182" t="s">
        <v>167</v>
      </c>
      <c r="E33" s="182">
        <v>1</v>
      </c>
      <c r="F33" s="219">
        <v>0.2</v>
      </c>
      <c r="G33" s="196">
        <f>VLOOKUP(D33,Hoja2!B:D,3,0)</f>
        <v>4501000</v>
      </c>
      <c r="H33" s="245">
        <f t="shared" si="1"/>
        <v>2.19</v>
      </c>
      <c r="I33" s="245">
        <v>5</v>
      </c>
      <c r="J33" s="186">
        <f t="shared" si="0"/>
        <v>9857190</v>
      </c>
    </row>
    <row r="34" spans="1:12" ht="41.1" customHeight="1" x14ac:dyDescent="0.25">
      <c r="B34" s="319" t="s">
        <v>140</v>
      </c>
      <c r="C34" s="244" t="s">
        <v>136</v>
      </c>
      <c r="D34" s="182" t="s">
        <v>170</v>
      </c>
      <c r="E34" s="182">
        <v>1</v>
      </c>
      <c r="F34" s="219">
        <v>0.05</v>
      </c>
      <c r="G34" s="198">
        <f>VLOOKUP(D34,Hoja2!B:D,3,0)</f>
        <v>2165000</v>
      </c>
      <c r="H34" s="245">
        <f t="shared" si="1"/>
        <v>2.19</v>
      </c>
      <c r="I34" s="245">
        <v>8</v>
      </c>
      <c r="J34" s="186">
        <f t="shared" si="0"/>
        <v>1896540</v>
      </c>
    </row>
    <row r="35" spans="1:12" ht="41.1" hidden="1" customHeight="1" x14ac:dyDescent="0.25">
      <c r="B35" s="320"/>
      <c r="C35" s="244" t="s">
        <v>72</v>
      </c>
      <c r="D35" s="182" t="s">
        <v>171</v>
      </c>
      <c r="E35" s="182">
        <v>0</v>
      </c>
      <c r="F35" s="219">
        <v>1</v>
      </c>
      <c r="G35" s="198">
        <f>VLOOKUP(D35,Hoja2!B:D,3,0)</f>
        <v>2078000</v>
      </c>
      <c r="H35" s="245">
        <f t="shared" si="1"/>
        <v>2.19</v>
      </c>
      <c r="I35" s="245">
        <v>0</v>
      </c>
      <c r="J35" s="186">
        <f t="shared" si="0"/>
        <v>0</v>
      </c>
    </row>
    <row r="36" spans="1:12" ht="41.1" hidden="1" customHeight="1" x14ac:dyDescent="0.25">
      <c r="B36" s="320"/>
      <c r="C36" s="244" t="s">
        <v>135</v>
      </c>
      <c r="D36" s="182" t="s">
        <v>172</v>
      </c>
      <c r="E36" s="182">
        <v>0</v>
      </c>
      <c r="F36" s="219">
        <v>0</v>
      </c>
      <c r="G36" s="198">
        <f>VLOOKUP(D36,Hoja2!B:D,3,0)</f>
        <v>1916000</v>
      </c>
      <c r="H36" s="245">
        <f t="shared" si="1"/>
        <v>2.19</v>
      </c>
      <c r="I36" s="245">
        <v>0</v>
      </c>
      <c r="J36" s="186">
        <f t="shared" si="0"/>
        <v>0</v>
      </c>
    </row>
    <row r="37" spans="1:12" ht="41.1" hidden="1" customHeight="1" x14ac:dyDescent="0.25">
      <c r="B37" s="320"/>
      <c r="C37" s="244" t="s">
        <v>73</v>
      </c>
      <c r="D37" s="182" t="s">
        <v>173</v>
      </c>
      <c r="E37" s="182">
        <v>0</v>
      </c>
      <c r="F37" s="219">
        <v>0</v>
      </c>
      <c r="G37" s="198">
        <f>VLOOKUP(D37,Hoja2!B:D,3,0)</f>
        <v>1827000</v>
      </c>
      <c r="H37" s="245">
        <f t="shared" si="1"/>
        <v>2.19</v>
      </c>
      <c r="I37" s="245">
        <v>0</v>
      </c>
      <c r="J37" s="186">
        <f t="shared" si="0"/>
        <v>0</v>
      </c>
    </row>
    <row r="38" spans="1:12" ht="41.1" hidden="1" customHeight="1" x14ac:dyDescent="0.25">
      <c r="B38" s="320"/>
      <c r="C38" s="244" t="s">
        <v>75</v>
      </c>
      <c r="D38" s="182" t="s">
        <v>174</v>
      </c>
      <c r="E38" s="182">
        <v>0</v>
      </c>
      <c r="F38" s="219"/>
      <c r="G38" s="198">
        <f>VLOOKUP(D38,Hoja2!B:D,3,0)</f>
        <v>1777000</v>
      </c>
      <c r="H38" s="245">
        <f t="shared" si="1"/>
        <v>2.19</v>
      </c>
      <c r="I38" s="245">
        <v>0</v>
      </c>
      <c r="J38" s="186">
        <f t="shared" si="0"/>
        <v>0</v>
      </c>
    </row>
    <row r="39" spans="1:12" ht="41.1" hidden="1" customHeight="1" x14ac:dyDescent="0.25">
      <c r="B39" s="320"/>
      <c r="C39" s="244" t="s">
        <v>134</v>
      </c>
      <c r="D39" s="182" t="s">
        <v>175</v>
      </c>
      <c r="E39" s="182">
        <v>0</v>
      </c>
      <c r="F39" s="219"/>
      <c r="G39" s="198">
        <f>VLOOKUP(D39,Hoja2!B:D,3,0)</f>
        <v>1576000</v>
      </c>
      <c r="H39" s="245">
        <f t="shared" si="1"/>
        <v>2.19</v>
      </c>
      <c r="I39" s="245">
        <v>9</v>
      </c>
      <c r="J39" s="186">
        <f t="shared" si="0"/>
        <v>0</v>
      </c>
    </row>
    <row r="40" spans="1:12" ht="41.1" customHeight="1" x14ac:dyDescent="0.25">
      <c r="B40" s="320"/>
      <c r="C40" s="244" t="s">
        <v>74</v>
      </c>
      <c r="D40" s="182" t="s">
        <v>176</v>
      </c>
      <c r="E40" s="182">
        <v>1</v>
      </c>
      <c r="F40" s="219">
        <v>1</v>
      </c>
      <c r="G40" s="198">
        <f>VLOOKUP(D40,Hoja2!B:D,3,0)</f>
        <v>1548000</v>
      </c>
      <c r="H40" s="245">
        <f t="shared" si="1"/>
        <v>2.19</v>
      </c>
      <c r="I40" s="245">
        <v>8</v>
      </c>
      <c r="J40" s="186">
        <f t="shared" si="0"/>
        <v>27120960</v>
      </c>
    </row>
    <row r="41" spans="1:12" ht="41.1" hidden="1" customHeight="1" x14ac:dyDescent="0.25">
      <c r="B41" s="320"/>
      <c r="C41" s="244" t="s">
        <v>77</v>
      </c>
      <c r="D41" s="182" t="s">
        <v>176</v>
      </c>
      <c r="E41" s="182">
        <v>0</v>
      </c>
      <c r="F41" s="219"/>
      <c r="G41" s="198">
        <f>VLOOKUP(D41,Hoja2!B:D,3,0)</f>
        <v>1548000</v>
      </c>
      <c r="H41" s="245">
        <f t="shared" si="1"/>
        <v>2.19</v>
      </c>
      <c r="I41" s="245">
        <v>0</v>
      </c>
      <c r="J41" s="186">
        <f t="shared" si="0"/>
        <v>0</v>
      </c>
    </row>
    <row r="42" spans="1:12" ht="41.1" customHeight="1" x14ac:dyDescent="0.25">
      <c r="B42" s="321"/>
      <c r="C42" s="244" t="s">
        <v>179</v>
      </c>
      <c r="D42" s="182" t="s">
        <v>178</v>
      </c>
      <c r="E42" s="182">
        <v>1</v>
      </c>
      <c r="F42" s="219">
        <v>0.1</v>
      </c>
      <c r="G42" s="198">
        <f>VLOOKUP(D42,Hoja2!B:D,3,0)</f>
        <v>1343000</v>
      </c>
      <c r="H42" s="245">
        <f t="shared" si="1"/>
        <v>2.19</v>
      </c>
      <c r="I42" s="245">
        <v>9</v>
      </c>
      <c r="J42" s="186">
        <f t="shared" si="0"/>
        <v>2647053</v>
      </c>
    </row>
    <row r="43" spans="1:12" ht="12.75" customHeight="1" x14ac:dyDescent="0.25">
      <c r="B43" s="207"/>
      <c r="D43" s="205"/>
      <c r="E43" s="205"/>
      <c r="F43" s="205"/>
      <c r="G43" s="208"/>
      <c r="H43" s="209"/>
      <c r="I43" s="209"/>
      <c r="J43" s="210"/>
    </row>
    <row r="44" spans="1:12" ht="33.75" customHeight="1" x14ac:dyDescent="0.25">
      <c r="B44" s="223" t="s">
        <v>210</v>
      </c>
      <c r="C44" s="238"/>
      <c r="D44" s="223"/>
      <c r="E44" s="223"/>
      <c r="F44" s="223"/>
      <c r="G44" s="224"/>
      <c r="H44" s="224"/>
      <c r="I44" s="224"/>
      <c r="J44" s="224">
        <f>SUM(J11:J43)</f>
        <v>292219803</v>
      </c>
    </row>
    <row r="45" spans="1:12" ht="9" customHeight="1" x14ac:dyDescent="0.25"/>
    <row r="46" spans="1:12" ht="44.25" customHeight="1" x14ac:dyDescent="0.25">
      <c r="B46" s="319" t="s">
        <v>163</v>
      </c>
      <c r="C46" s="239" t="s">
        <v>157</v>
      </c>
      <c r="D46" s="194" t="s">
        <v>156</v>
      </c>
      <c r="E46" s="176" t="s">
        <v>1</v>
      </c>
      <c r="F46" s="176" t="s">
        <v>208</v>
      </c>
      <c r="G46" s="194" t="s">
        <v>192</v>
      </c>
      <c r="H46" s="194" t="s">
        <v>193</v>
      </c>
      <c r="I46" s="194" t="s">
        <v>216</v>
      </c>
      <c r="J46" s="180" t="s">
        <v>145</v>
      </c>
    </row>
    <row r="47" spans="1:12" s="174" customFormat="1" ht="35.25" customHeight="1" x14ac:dyDescent="0.25">
      <c r="A47" s="173"/>
      <c r="B47" s="320"/>
      <c r="C47" s="240" t="s">
        <v>147</v>
      </c>
      <c r="D47" s="182" t="s">
        <v>148</v>
      </c>
      <c r="E47" s="182">
        <v>1</v>
      </c>
      <c r="F47" s="219">
        <v>0.05</v>
      </c>
      <c r="G47" s="246">
        <f>VLOOKUP(D47,Hoja2!B:D,2,0)</f>
        <v>94900</v>
      </c>
      <c r="H47" s="196">
        <f>VLOOKUP(D47,Hoja2!B:D,3,0)</f>
        <v>2876000</v>
      </c>
      <c r="I47" s="185">
        <v>8</v>
      </c>
      <c r="J47" s="220">
        <f>+I47*H47*F47*E47</f>
        <v>1150400</v>
      </c>
      <c r="L47" s="173"/>
    </row>
    <row r="48" spans="1:12" s="174" customFormat="1" ht="42.75" hidden="1" customHeight="1" x14ac:dyDescent="0.25">
      <c r="A48" s="173"/>
      <c r="B48" s="320"/>
      <c r="C48" s="240" t="s">
        <v>150</v>
      </c>
      <c r="D48" s="182" t="s">
        <v>151</v>
      </c>
      <c r="E48" s="182">
        <v>1</v>
      </c>
      <c r="F48" s="219">
        <v>0</v>
      </c>
      <c r="G48" s="246">
        <f>VLOOKUP(D48,Hoja2!B:D,2,0)</f>
        <v>148533</v>
      </c>
      <c r="H48" s="196">
        <f>VLOOKUP(D48,Hoja2!B:D,3,0)</f>
        <v>4485000</v>
      </c>
      <c r="I48" s="185">
        <v>0</v>
      </c>
      <c r="J48" s="220">
        <f t="shared" ref="J48:J53" si="2">+I48*H48*F48*E48</f>
        <v>0</v>
      </c>
      <c r="L48" s="173"/>
    </row>
    <row r="49" spans="1:12" s="174" customFormat="1" ht="35.25" customHeight="1" x14ac:dyDescent="0.25">
      <c r="A49" s="173"/>
      <c r="B49" s="320"/>
      <c r="C49" s="240" t="s">
        <v>66</v>
      </c>
      <c r="D49" s="182" t="s">
        <v>151</v>
      </c>
      <c r="E49" s="182">
        <v>1</v>
      </c>
      <c r="F49" s="219">
        <v>0.1</v>
      </c>
      <c r="G49" s="246">
        <f>VLOOKUP(D49,Hoja2!B:D,2,0)</f>
        <v>148533</v>
      </c>
      <c r="H49" s="196">
        <f>VLOOKUP(D49,Hoja2!B:D,3,0)</f>
        <v>4485000</v>
      </c>
      <c r="I49" s="185">
        <v>6</v>
      </c>
      <c r="J49" s="220">
        <f t="shared" si="2"/>
        <v>2691000</v>
      </c>
      <c r="L49" s="173"/>
    </row>
    <row r="50" spans="1:12" s="174" customFormat="1" ht="35.25" hidden="1" customHeight="1" x14ac:dyDescent="0.25">
      <c r="A50" s="173"/>
      <c r="B50" s="320"/>
      <c r="C50" s="240" t="s">
        <v>67</v>
      </c>
      <c r="D50" s="182" t="s">
        <v>158</v>
      </c>
      <c r="E50" s="182">
        <v>0</v>
      </c>
      <c r="F50" s="219">
        <v>0</v>
      </c>
      <c r="G50" s="191">
        <f>VLOOKUP(D50,Hoja2!B:D,2,0)</f>
        <v>241000</v>
      </c>
      <c r="H50" s="184">
        <f>VLOOKUP(D50,Hoja2!B:D,3,0)</f>
        <v>7270000</v>
      </c>
      <c r="I50" s="185">
        <v>0</v>
      </c>
      <c r="J50" s="220">
        <f t="shared" si="2"/>
        <v>0</v>
      </c>
      <c r="L50" s="173"/>
    </row>
    <row r="51" spans="1:12" s="174" customFormat="1" ht="35.25" hidden="1" customHeight="1" x14ac:dyDescent="0.25">
      <c r="A51" s="173"/>
      <c r="B51" s="320"/>
      <c r="C51" s="241" t="s">
        <v>160</v>
      </c>
      <c r="D51" s="182" t="s">
        <v>159</v>
      </c>
      <c r="E51" s="182">
        <v>0</v>
      </c>
      <c r="F51" s="219">
        <v>0</v>
      </c>
      <c r="G51" s="191">
        <f>VLOOKUP(D51,Hoja2!B:D,2,0)</f>
        <v>329000</v>
      </c>
      <c r="H51" s="184">
        <f>VLOOKUP(D51,Hoja2!B:D,3,0)</f>
        <v>9897000</v>
      </c>
      <c r="I51" s="185">
        <v>0</v>
      </c>
      <c r="J51" s="220">
        <f t="shared" si="2"/>
        <v>0</v>
      </c>
      <c r="L51" s="173"/>
    </row>
    <row r="52" spans="1:12" s="174" customFormat="1" ht="35.25" hidden="1" customHeight="1" x14ac:dyDescent="0.25">
      <c r="A52" s="173"/>
      <c r="B52" s="320"/>
      <c r="C52" s="241" t="s">
        <v>161</v>
      </c>
      <c r="D52" s="182" t="s">
        <v>152</v>
      </c>
      <c r="E52" s="182">
        <v>0</v>
      </c>
      <c r="F52" s="219">
        <v>0</v>
      </c>
      <c r="G52" s="191">
        <f>VLOOKUP(D52,Hoja2!B:D,2,0)</f>
        <v>190900</v>
      </c>
      <c r="H52" s="184">
        <f>VLOOKUP(D52,Hoja2!B:D,3,0)</f>
        <v>5756000</v>
      </c>
      <c r="I52" s="185">
        <v>0</v>
      </c>
      <c r="J52" s="220">
        <f t="shared" si="2"/>
        <v>0</v>
      </c>
      <c r="L52" s="173"/>
    </row>
    <row r="53" spans="1:12" s="174" customFormat="1" ht="35.25" hidden="1" customHeight="1" x14ac:dyDescent="0.25">
      <c r="A53" s="173"/>
      <c r="B53" s="321"/>
      <c r="C53" s="241" t="s">
        <v>162</v>
      </c>
      <c r="D53" s="182" t="s">
        <v>159</v>
      </c>
      <c r="E53" s="182">
        <v>0</v>
      </c>
      <c r="F53" s="219">
        <v>0</v>
      </c>
      <c r="G53" s="191">
        <f>VLOOKUP(D53,Hoja2!B:D,2,0)</f>
        <v>329000</v>
      </c>
      <c r="H53" s="184">
        <f>VLOOKUP(D53,Hoja2!B:D,3,0)</f>
        <v>9897000</v>
      </c>
      <c r="I53" s="185">
        <v>0</v>
      </c>
      <c r="J53" s="220">
        <f t="shared" si="2"/>
        <v>0</v>
      </c>
      <c r="L53" s="173"/>
    </row>
    <row r="54" spans="1:12" ht="8.25" customHeight="1" x14ac:dyDescent="0.25"/>
    <row r="55" spans="1:12" ht="27.75" customHeight="1" x14ac:dyDescent="0.25">
      <c r="B55" s="223" t="s">
        <v>211</v>
      </c>
      <c r="C55" s="242"/>
      <c r="D55" s="225"/>
      <c r="E55" s="225"/>
      <c r="F55" s="225"/>
      <c r="G55" s="203"/>
      <c r="H55" s="203"/>
      <c r="I55" s="203"/>
      <c r="J55" s="224">
        <f>SUM(J47:J54)</f>
        <v>3841400</v>
      </c>
    </row>
    <row r="56" spans="1:12" ht="16.5" customHeight="1" x14ac:dyDescent="0.25"/>
    <row r="57" spans="1:12" s="174" customFormat="1" ht="83.25" customHeight="1" x14ac:dyDescent="0.25">
      <c r="A57" s="173"/>
      <c r="B57" s="226" t="s">
        <v>212</v>
      </c>
      <c r="C57" s="243" t="s">
        <v>183</v>
      </c>
      <c r="D57" s="322" t="s">
        <v>184</v>
      </c>
      <c r="E57" s="322"/>
      <c r="F57" s="322"/>
      <c r="G57" s="322"/>
      <c r="H57" s="228">
        <v>0.01</v>
      </c>
      <c r="I57" s="228"/>
      <c r="J57" s="224">
        <f>+J44*H57</f>
        <v>2922198.0300000003</v>
      </c>
      <c r="L57" s="173"/>
    </row>
    <row r="58" spans="1:12" s="174" customFormat="1" ht="23.25" customHeight="1" x14ac:dyDescent="0.25">
      <c r="A58" s="173"/>
      <c r="B58" s="173"/>
      <c r="C58" s="234"/>
      <c r="D58" s="173"/>
      <c r="E58" s="173"/>
      <c r="F58" s="173"/>
      <c r="G58" s="217"/>
      <c r="H58" s="217"/>
      <c r="I58" s="217"/>
      <c r="J58" s="218"/>
      <c r="L58" s="173"/>
    </row>
    <row r="59" spans="1:12" s="174" customFormat="1" ht="26.25" customHeight="1" x14ac:dyDescent="0.25">
      <c r="A59" s="173"/>
      <c r="B59" s="226" t="s">
        <v>213</v>
      </c>
      <c r="C59" s="243" t="s">
        <v>186</v>
      </c>
      <c r="D59" s="307"/>
      <c r="E59" s="308"/>
      <c r="F59" s="308"/>
      <c r="G59" s="308"/>
      <c r="H59" s="309"/>
      <c r="I59" s="232"/>
      <c r="J59" s="249">
        <v>0</v>
      </c>
      <c r="L59" s="173"/>
    </row>
    <row r="60" spans="1:12" s="174" customFormat="1" ht="28.5" customHeight="1" x14ac:dyDescent="0.25">
      <c r="A60" s="173"/>
      <c r="B60" s="211"/>
      <c r="C60" s="200"/>
      <c r="D60" s="200"/>
      <c r="E60" s="200"/>
      <c r="F60" s="200"/>
      <c r="G60" s="200"/>
      <c r="H60" s="212"/>
      <c r="I60" s="212"/>
      <c r="J60" s="213"/>
      <c r="L60" s="173"/>
    </row>
    <row r="61" spans="1:12" s="174" customFormat="1" ht="28.5" customHeight="1" x14ac:dyDescent="0.25">
      <c r="A61" s="173"/>
      <c r="B61" s="215" t="s">
        <v>209</v>
      </c>
      <c r="C61" s="310"/>
      <c r="D61" s="311"/>
      <c r="E61" s="311"/>
      <c r="F61" s="311"/>
      <c r="G61" s="311"/>
      <c r="H61" s="312"/>
      <c r="I61" s="222"/>
      <c r="J61" s="214">
        <f>+J59+J57+J55+J44</f>
        <v>298983401.02999997</v>
      </c>
      <c r="L61" s="173"/>
    </row>
    <row r="62" spans="1:12" s="174" customFormat="1" ht="28.5" customHeight="1" x14ac:dyDescent="0.25">
      <c r="A62" s="173"/>
      <c r="B62" s="216" t="s">
        <v>214</v>
      </c>
      <c r="C62" s="313"/>
      <c r="D62" s="314"/>
      <c r="E62" s="314"/>
      <c r="F62" s="314"/>
      <c r="G62" s="314"/>
      <c r="H62" s="315"/>
      <c r="I62" s="247">
        <v>0.19</v>
      </c>
      <c r="J62" s="214">
        <f>+I62*J61</f>
        <v>56806846.195699997</v>
      </c>
      <c r="L62" s="173"/>
    </row>
    <row r="63" spans="1:12" s="174" customFormat="1" ht="28.5" customHeight="1" x14ac:dyDescent="0.25">
      <c r="A63" s="173"/>
      <c r="B63" s="229" t="s">
        <v>215</v>
      </c>
      <c r="C63" s="316"/>
      <c r="D63" s="316"/>
      <c r="E63" s="316"/>
      <c r="F63" s="316"/>
      <c r="G63" s="316"/>
      <c r="H63" s="316"/>
      <c r="I63" s="233"/>
      <c r="J63" s="230">
        <f>ROUND(J62+J61,0)</f>
        <v>355790247</v>
      </c>
      <c r="L63" s="173"/>
    </row>
    <row r="64" spans="1:12" s="174" customFormat="1" ht="30.75" customHeight="1" x14ac:dyDescent="0.25">
      <c r="A64" s="173"/>
      <c r="B64" s="231" t="s">
        <v>180</v>
      </c>
      <c r="C64" s="234"/>
      <c r="D64" s="173"/>
      <c r="E64" s="173"/>
      <c r="F64" s="173"/>
      <c r="G64" s="175"/>
      <c r="H64" s="197"/>
      <c r="I64" s="197"/>
      <c r="J64" s="197"/>
      <c r="L64" s="173"/>
    </row>
    <row r="65" spans="1:12" s="174" customFormat="1" ht="24.75" customHeight="1" x14ac:dyDescent="0.25">
      <c r="A65" s="173"/>
      <c r="B65" s="231" t="s">
        <v>181</v>
      </c>
      <c r="C65" s="234"/>
      <c r="D65" s="173"/>
      <c r="E65" s="173"/>
      <c r="F65" s="173"/>
      <c r="G65" s="175"/>
      <c r="H65" s="197"/>
      <c r="I65" s="197"/>
      <c r="J65" s="197"/>
      <c r="L65" s="173"/>
    </row>
    <row r="66" spans="1:12" s="174" customFormat="1" ht="30" customHeight="1" x14ac:dyDescent="0.25">
      <c r="A66" s="173"/>
      <c r="B66" s="231" t="s">
        <v>188</v>
      </c>
      <c r="C66" s="234"/>
      <c r="D66" s="173"/>
      <c r="E66" s="173"/>
      <c r="F66" s="173"/>
      <c r="G66" s="175"/>
      <c r="H66" s="175"/>
      <c r="I66" s="175"/>
      <c r="J66" s="175"/>
      <c r="L66" s="173"/>
    </row>
    <row r="72" spans="1:12" ht="19.5" customHeight="1" x14ac:dyDescent="0.25">
      <c r="B72" s="200" t="s">
        <v>198</v>
      </c>
    </row>
    <row r="73" spans="1:12" ht="18" x14ac:dyDescent="0.25">
      <c r="B73" s="201"/>
    </row>
    <row r="74" spans="1:12" ht="18" customHeight="1" x14ac:dyDescent="0.25">
      <c r="B74" s="202"/>
    </row>
    <row r="75" spans="1:12" ht="18" x14ac:dyDescent="0.25">
      <c r="B75" s="202"/>
    </row>
    <row r="77" spans="1:12" x14ac:dyDescent="0.25">
      <c r="D77" s="173">
        <v>3140</v>
      </c>
      <c r="E77" s="173">
        <f>+D77/60</f>
        <v>52.333333333333336</v>
      </c>
      <c r="F77" s="173">
        <f>+E77/30</f>
        <v>1.7444444444444445</v>
      </c>
      <c r="G77" s="173">
        <f>+F77+1</f>
        <v>2.7444444444444445</v>
      </c>
      <c r="H77" s="175" t="s">
        <v>241</v>
      </c>
    </row>
  </sheetData>
  <protectedRanges>
    <protectedRange sqref="J10 J46" name="Rango1_4_1_2_1_1"/>
  </protectedRanges>
  <mergeCells count="10">
    <mergeCell ref="D59:H59"/>
    <mergeCell ref="C61:H61"/>
    <mergeCell ref="C62:H62"/>
    <mergeCell ref="C63:H63"/>
    <mergeCell ref="B5:J5"/>
    <mergeCell ref="B11:B13"/>
    <mergeCell ref="B14:B33"/>
    <mergeCell ref="B34:B42"/>
    <mergeCell ref="B46:B53"/>
    <mergeCell ref="D57:G57"/>
  </mergeCells>
  <printOptions horizontalCentered="1"/>
  <pageMargins left="0.54" right="0.28000000000000003" top="0.33" bottom="0.3" header="0.31496062992125984" footer="0.31496062992125984"/>
  <pageSetup scale="3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0000000}">
          <x14:formula1>
            <xm:f>Hoja2!$J$14:$J$20</xm:f>
          </x14:formula1>
          <xm:sqref>D47:D53</xm:sqref>
        </x14:dataValidation>
        <x14:dataValidation type="list" allowBlank="1" showInputMessage="1" showErrorMessage="1" xr:uid="{00000000-0002-0000-0600-000001000000}">
          <x14:formula1>
            <xm:f>Hoja2!$I$14:$I$22</xm:f>
          </x14:formula1>
          <xm:sqref>D34:D43</xm:sqref>
        </x14:dataValidation>
        <x14:dataValidation type="list" allowBlank="1" showInputMessage="1" showErrorMessage="1" xr:uid="{00000000-0002-0000-0600-000002000000}">
          <x14:formula1>
            <xm:f>Hoja2!$H$14:$H$20</xm:f>
          </x14:formula1>
          <xm:sqref>D14:D33</xm:sqref>
        </x14:dataValidation>
        <x14:dataValidation type="list" allowBlank="1" showInputMessage="1" showErrorMessage="1" xr:uid="{00000000-0002-0000-0600-000003000000}">
          <x14:formula1>
            <xm:f>Hoja2!$G$14:$G$16</xm:f>
          </x14:formula1>
          <xm:sqref>D11:D13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5:L80"/>
  <sheetViews>
    <sheetView view="pageBreakPreview" topLeftCell="B31" zoomScale="70" zoomScaleNormal="85" zoomScaleSheetLayoutView="70" workbookViewId="0">
      <pane ySplit="5805" topLeftCell="A44"/>
      <selection activeCell="H58" sqref="H58"/>
      <selection pane="bottomLeft" activeCell="H58" sqref="H58"/>
    </sheetView>
  </sheetViews>
  <sheetFormatPr baseColWidth="10" defaultColWidth="11.42578125" defaultRowHeight="15" x14ac:dyDescent="0.25"/>
  <cols>
    <col min="1" max="1" width="4" style="173" customWidth="1"/>
    <col min="2" max="2" width="48.5703125" style="173" customWidth="1"/>
    <col min="3" max="3" width="60.5703125" style="173" customWidth="1"/>
    <col min="4" max="4" width="17.5703125" style="173" bestFit="1" customWidth="1"/>
    <col min="5" max="5" width="13.42578125" style="173" bestFit="1" customWidth="1"/>
    <col min="6" max="6" width="20" style="173" bestFit="1" customWidth="1"/>
    <col min="7" max="7" width="24.85546875" style="175" customWidth="1"/>
    <col min="8" max="8" width="24" style="175" customWidth="1"/>
    <col min="9" max="9" width="25.5703125" style="175" customWidth="1"/>
    <col min="10" max="10" width="31.42578125" style="175" customWidth="1"/>
    <col min="11" max="11" width="11.42578125" style="174"/>
    <col min="12" max="12" width="15.5703125" style="173" bestFit="1" customWidth="1"/>
    <col min="13" max="16384" width="11.42578125" style="173"/>
  </cols>
  <sheetData>
    <row r="5" spans="2:10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  <c r="J5" s="317"/>
    </row>
    <row r="7" spans="2:10" ht="33" customHeight="1" x14ac:dyDescent="0.25">
      <c r="B7" s="231" t="s">
        <v>236</v>
      </c>
    </row>
    <row r="10" spans="2:10" ht="72" customHeight="1" x14ac:dyDescent="0.25">
      <c r="B10" s="221" t="s">
        <v>142</v>
      </c>
      <c r="C10" s="176" t="s">
        <v>144</v>
      </c>
      <c r="D10" s="176" t="s">
        <v>143</v>
      </c>
      <c r="E10" s="176" t="s">
        <v>1</v>
      </c>
      <c r="F10" s="176" t="s">
        <v>208</v>
      </c>
      <c r="G10" s="199" t="s">
        <v>191</v>
      </c>
      <c r="H10" s="179" t="s">
        <v>146</v>
      </c>
      <c r="I10" s="199" t="s">
        <v>229</v>
      </c>
      <c r="J10" s="180" t="s">
        <v>145</v>
      </c>
    </row>
    <row r="11" spans="2:10" ht="50.25" customHeight="1" x14ac:dyDescent="0.25">
      <c r="B11" s="318" t="s">
        <v>138</v>
      </c>
      <c r="C11" s="181" t="s">
        <v>200</v>
      </c>
      <c r="D11" s="182" t="s">
        <v>165</v>
      </c>
      <c r="E11" s="182">
        <v>1</v>
      </c>
      <c r="F11" s="219">
        <v>1</v>
      </c>
      <c r="G11" s="196">
        <v>5862500</v>
      </c>
      <c r="H11" s="245">
        <v>2.19</v>
      </c>
      <c r="I11" s="245">
        <v>8</v>
      </c>
      <c r="J11" s="186">
        <f>+I11*H11*G11*F11*E11</f>
        <v>102711000</v>
      </c>
    </row>
    <row r="12" spans="2:10" ht="36.75" hidden="1" customHeight="1" x14ac:dyDescent="0.25">
      <c r="B12" s="318"/>
      <c r="C12" s="181" t="s">
        <v>200</v>
      </c>
      <c r="D12" s="182" t="s">
        <v>166</v>
      </c>
      <c r="E12" s="182">
        <v>0</v>
      </c>
      <c r="F12" s="219"/>
      <c r="G12" s="196">
        <f>VLOOKUP(D12,Hoja2!B:D,3,0)</f>
        <v>4992000</v>
      </c>
      <c r="H12" s="245">
        <f>+$H$11</f>
        <v>2.19</v>
      </c>
      <c r="I12" s="245">
        <v>8</v>
      </c>
      <c r="J12" s="186">
        <f t="shared" ref="J12:J42" si="0">+I12*H12*G12*F12*E12</f>
        <v>0</v>
      </c>
    </row>
    <row r="13" spans="2:10" ht="41.25" hidden="1" customHeight="1" x14ac:dyDescent="0.25">
      <c r="B13" s="318"/>
      <c r="C13" s="181" t="s">
        <v>200</v>
      </c>
      <c r="D13" s="182" t="s">
        <v>166</v>
      </c>
      <c r="E13" s="182">
        <v>0</v>
      </c>
      <c r="F13" s="219"/>
      <c r="G13" s="196">
        <f>VLOOKUP(D13,Hoja2!B:D,3,0)</f>
        <v>4992000</v>
      </c>
      <c r="H13" s="245">
        <f t="shared" ref="H13:H42" si="1">+$H$11</f>
        <v>2.19</v>
      </c>
      <c r="I13" s="245">
        <v>8</v>
      </c>
      <c r="J13" s="186">
        <f t="shared" si="0"/>
        <v>0</v>
      </c>
    </row>
    <row r="14" spans="2:10" ht="62.25" hidden="1" customHeight="1" x14ac:dyDescent="0.25">
      <c r="B14" s="318" t="s">
        <v>68</v>
      </c>
      <c r="C14" s="181" t="s">
        <v>201</v>
      </c>
      <c r="D14" s="182" t="s">
        <v>164</v>
      </c>
      <c r="E14" s="182">
        <v>0</v>
      </c>
      <c r="F14" s="219">
        <v>0</v>
      </c>
      <c r="G14" s="196">
        <v>6946500</v>
      </c>
      <c r="H14" s="245">
        <f t="shared" si="1"/>
        <v>2.19</v>
      </c>
      <c r="I14" s="245">
        <v>0</v>
      </c>
      <c r="J14" s="186">
        <f t="shared" si="0"/>
        <v>0</v>
      </c>
    </row>
    <row r="15" spans="2:10" ht="41.25" hidden="1" customHeight="1" x14ac:dyDescent="0.25">
      <c r="B15" s="318"/>
      <c r="C15" s="181" t="s">
        <v>202</v>
      </c>
      <c r="D15" s="182" t="s">
        <v>165</v>
      </c>
      <c r="E15" s="182">
        <v>0</v>
      </c>
      <c r="F15" s="219"/>
      <c r="G15" s="196">
        <f>VLOOKUP(D15,Hoja2!B:D,3,0)</f>
        <v>5862000</v>
      </c>
      <c r="H15" s="245">
        <f t="shared" si="1"/>
        <v>2.19</v>
      </c>
      <c r="I15" s="245">
        <v>8</v>
      </c>
      <c r="J15" s="186">
        <f t="shared" si="0"/>
        <v>0</v>
      </c>
    </row>
    <row r="16" spans="2:10" ht="41.25" customHeight="1" x14ac:dyDescent="0.25">
      <c r="B16" s="318"/>
      <c r="C16" s="181" t="s">
        <v>203</v>
      </c>
      <c r="D16" s="182" t="s">
        <v>167</v>
      </c>
      <c r="E16" s="182">
        <v>1</v>
      </c>
      <c r="F16" s="219">
        <v>0.2</v>
      </c>
      <c r="G16" s="196">
        <v>4500000</v>
      </c>
      <c r="H16" s="245">
        <f t="shared" si="1"/>
        <v>2.19</v>
      </c>
      <c r="I16" s="245">
        <v>7</v>
      </c>
      <c r="J16" s="186">
        <f t="shared" si="0"/>
        <v>13797000</v>
      </c>
    </row>
    <row r="17" spans="2:10" ht="41.25" customHeight="1" x14ac:dyDescent="0.25">
      <c r="B17" s="318"/>
      <c r="C17" s="181" t="s">
        <v>204</v>
      </c>
      <c r="D17" s="182" t="s">
        <v>167</v>
      </c>
      <c r="E17" s="182">
        <v>1</v>
      </c>
      <c r="F17" s="219">
        <v>0.2</v>
      </c>
      <c r="G17" s="196">
        <v>4500000</v>
      </c>
      <c r="H17" s="245">
        <f t="shared" si="1"/>
        <v>2.19</v>
      </c>
      <c r="I17" s="245">
        <v>7</v>
      </c>
      <c r="J17" s="186">
        <f t="shared" si="0"/>
        <v>13797000</v>
      </c>
    </row>
    <row r="18" spans="2:10" ht="46.5" customHeight="1" x14ac:dyDescent="0.25">
      <c r="B18" s="318"/>
      <c r="C18" s="181" t="s">
        <v>205</v>
      </c>
      <c r="D18" s="182" t="s">
        <v>167</v>
      </c>
      <c r="E18" s="182">
        <v>1</v>
      </c>
      <c r="F18" s="219">
        <v>0.2</v>
      </c>
      <c r="G18" s="196">
        <v>4500000</v>
      </c>
      <c r="H18" s="245">
        <f t="shared" si="1"/>
        <v>2.19</v>
      </c>
      <c r="I18" s="245">
        <v>7</v>
      </c>
      <c r="J18" s="186">
        <f t="shared" si="0"/>
        <v>13797000</v>
      </c>
    </row>
    <row r="19" spans="2:10" ht="41.25" customHeight="1" x14ac:dyDescent="0.25">
      <c r="B19" s="318"/>
      <c r="C19" s="181" t="s">
        <v>206</v>
      </c>
      <c r="D19" s="182" t="s">
        <v>167</v>
      </c>
      <c r="E19" s="182">
        <v>1</v>
      </c>
      <c r="F19" s="219">
        <v>0.2</v>
      </c>
      <c r="G19" s="196">
        <v>4500000</v>
      </c>
      <c r="H19" s="245">
        <f t="shared" si="1"/>
        <v>2.19</v>
      </c>
      <c r="I19" s="245">
        <v>7</v>
      </c>
      <c r="J19" s="186">
        <f t="shared" si="0"/>
        <v>13797000</v>
      </c>
    </row>
    <row r="20" spans="2:10" ht="41.25" customHeight="1" x14ac:dyDescent="0.25">
      <c r="B20" s="318"/>
      <c r="C20" s="181" t="s">
        <v>207</v>
      </c>
      <c r="D20" s="182" t="s">
        <v>167</v>
      </c>
      <c r="E20" s="182">
        <v>1</v>
      </c>
      <c r="F20" s="219">
        <v>0.2</v>
      </c>
      <c r="G20" s="196">
        <v>4500000</v>
      </c>
      <c r="H20" s="245">
        <f t="shared" si="1"/>
        <v>2.19</v>
      </c>
      <c r="I20" s="245">
        <v>7</v>
      </c>
      <c r="J20" s="186">
        <f t="shared" si="0"/>
        <v>13797000</v>
      </c>
    </row>
    <row r="21" spans="2:10" ht="41.25" hidden="1" customHeight="1" x14ac:dyDescent="0.25">
      <c r="B21" s="318"/>
      <c r="C21" s="181" t="s">
        <v>217</v>
      </c>
      <c r="D21" s="182" t="s">
        <v>167</v>
      </c>
      <c r="E21" s="182">
        <v>0</v>
      </c>
      <c r="F21" s="219"/>
      <c r="G21" s="196">
        <f>VLOOKUP(D21,Hoja2!B:D,3,0)</f>
        <v>4501000</v>
      </c>
      <c r="H21" s="245">
        <f t="shared" si="1"/>
        <v>2.19</v>
      </c>
      <c r="I21" s="245">
        <v>0</v>
      </c>
      <c r="J21" s="186">
        <f t="shared" si="0"/>
        <v>0</v>
      </c>
    </row>
    <row r="22" spans="2:10" ht="41.25" hidden="1" customHeight="1" x14ac:dyDescent="0.25">
      <c r="B22" s="318"/>
      <c r="C22" s="181" t="s">
        <v>218</v>
      </c>
      <c r="D22" s="182" t="s">
        <v>166</v>
      </c>
      <c r="E22" s="182">
        <v>0</v>
      </c>
      <c r="F22" s="219"/>
      <c r="G22" s="196">
        <f>VLOOKUP(D22,Hoja2!B:D,3,0)</f>
        <v>4992000</v>
      </c>
      <c r="H22" s="245">
        <f t="shared" si="1"/>
        <v>2.19</v>
      </c>
      <c r="I22" s="245">
        <v>0</v>
      </c>
      <c r="J22" s="186">
        <f t="shared" si="0"/>
        <v>0</v>
      </c>
    </row>
    <row r="23" spans="2:10" ht="41.25" customHeight="1" x14ac:dyDescent="0.25">
      <c r="B23" s="318"/>
      <c r="C23" s="181" t="s">
        <v>219</v>
      </c>
      <c r="D23" s="182" t="s">
        <v>167</v>
      </c>
      <c r="E23" s="182">
        <v>1</v>
      </c>
      <c r="F23" s="219">
        <v>0.2</v>
      </c>
      <c r="G23" s="196">
        <v>4500000</v>
      </c>
      <c r="H23" s="245">
        <f t="shared" si="1"/>
        <v>2.19</v>
      </c>
      <c r="I23" s="245">
        <v>7</v>
      </c>
      <c r="J23" s="186">
        <f t="shared" si="0"/>
        <v>13797000</v>
      </c>
    </row>
    <row r="24" spans="2:10" ht="41.25" hidden="1" customHeight="1" x14ac:dyDescent="0.25">
      <c r="B24" s="318"/>
      <c r="C24" s="181" t="s">
        <v>220</v>
      </c>
      <c r="D24" s="182" t="s">
        <v>165</v>
      </c>
      <c r="E24" s="182">
        <v>0</v>
      </c>
      <c r="F24" s="219"/>
      <c r="G24" s="196">
        <f>VLOOKUP(D24,Hoja2!B:D,3,0)</f>
        <v>5862000</v>
      </c>
      <c r="H24" s="245">
        <f t="shared" si="1"/>
        <v>2.19</v>
      </c>
      <c r="I24" s="245">
        <v>0</v>
      </c>
      <c r="J24" s="186">
        <f t="shared" si="0"/>
        <v>0</v>
      </c>
    </row>
    <row r="25" spans="2:10" ht="41.25" customHeight="1" x14ac:dyDescent="0.25">
      <c r="B25" s="318"/>
      <c r="C25" s="181" t="s">
        <v>228</v>
      </c>
      <c r="D25" s="182" t="s">
        <v>168</v>
      </c>
      <c r="E25" s="182">
        <v>1</v>
      </c>
      <c r="F25" s="219">
        <v>0.05</v>
      </c>
      <c r="G25" s="196">
        <v>4013000</v>
      </c>
      <c r="H25" s="245">
        <f t="shared" si="1"/>
        <v>2.19</v>
      </c>
      <c r="I25" s="245">
        <v>7</v>
      </c>
      <c r="J25" s="186">
        <f t="shared" si="0"/>
        <v>3075964.5</v>
      </c>
    </row>
    <row r="26" spans="2:10" ht="41.25" customHeight="1" x14ac:dyDescent="0.25">
      <c r="B26" s="318"/>
      <c r="C26" s="181" t="s">
        <v>221</v>
      </c>
      <c r="D26" s="182" t="s">
        <v>167</v>
      </c>
      <c r="E26" s="182">
        <v>1</v>
      </c>
      <c r="F26" s="219">
        <v>1</v>
      </c>
      <c r="G26" s="196">
        <v>4500000</v>
      </c>
      <c r="H26" s="245">
        <f t="shared" si="1"/>
        <v>2.19</v>
      </c>
      <c r="I26" s="245">
        <v>8</v>
      </c>
      <c r="J26" s="186">
        <f t="shared" si="0"/>
        <v>78840000</v>
      </c>
    </row>
    <row r="27" spans="2:10" ht="41.25" customHeight="1" x14ac:dyDescent="0.25">
      <c r="B27" s="318"/>
      <c r="C27" s="181" t="s">
        <v>222</v>
      </c>
      <c r="D27" s="182" t="s">
        <v>165</v>
      </c>
      <c r="E27" s="182">
        <v>1</v>
      </c>
      <c r="F27" s="219">
        <v>1</v>
      </c>
      <c r="G27" s="196">
        <v>5862500</v>
      </c>
      <c r="H27" s="245">
        <f t="shared" si="1"/>
        <v>2.19</v>
      </c>
      <c r="I27" s="245">
        <v>7</v>
      </c>
      <c r="J27" s="186">
        <f t="shared" si="0"/>
        <v>89872125</v>
      </c>
    </row>
    <row r="28" spans="2:10" ht="41.25" hidden="1" customHeight="1" x14ac:dyDescent="0.25">
      <c r="B28" s="318"/>
      <c r="C28" s="181" t="s">
        <v>223</v>
      </c>
      <c r="D28" s="182" t="s">
        <v>167</v>
      </c>
      <c r="E28" s="182">
        <v>0</v>
      </c>
      <c r="F28" s="219">
        <v>0</v>
      </c>
      <c r="G28" s="196">
        <f>VLOOKUP(D28,Hoja2!B:D,3,0)</f>
        <v>4501000</v>
      </c>
      <c r="H28" s="245">
        <f t="shared" si="1"/>
        <v>2.19</v>
      </c>
      <c r="I28" s="245">
        <v>0</v>
      </c>
      <c r="J28" s="186">
        <f t="shared" si="0"/>
        <v>0</v>
      </c>
    </row>
    <row r="29" spans="2:10" ht="41.25" hidden="1" customHeight="1" x14ac:dyDescent="0.25">
      <c r="B29" s="318"/>
      <c r="C29" s="181" t="s">
        <v>224</v>
      </c>
      <c r="D29" s="182" t="s">
        <v>165</v>
      </c>
      <c r="E29" s="182">
        <v>0</v>
      </c>
      <c r="F29" s="219">
        <v>0</v>
      </c>
      <c r="G29" s="196">
        <f>VLOOKUP(D29,Hoja2!B:D,3,0)</f>
        <v>5862000</v>
      </c>
      <c r="H29" s="245">
        <f t="shared" si="1"/>
        <v>2.19</v>
      </c>
      <c r="I29" s="245">
        <v>0</v>
      </c>
      <c r="J29" s="186">
        <f t="shared" si="0"/>
        <v>0</v>
      </c>
    </row>
    <row r="30" spans="2:10" ht="41.25" hidden="1" customHeight="1" x14ac:dyDescent="0.25">
      <c r="B30" s="318"/>
      <c r="C30" s="181" t="s">
        <v>225</v>
      </c>
      <c r="D30" s="182" t="s">
        <v>165</v>
      </c>
      <c r="E30" s="182">
        <v>0</v>
      </c>
      <c r="F30" s="219">
        <v>0</v>
      </c>
      <c r="G30" s="196">
        <f>VLOOKUP(D30,Hoja2!B:D,3,0)</f>
        <v>5862000</v>
      </c>
      <c r="H30" s="245">
        <f t="shared" si="1"/>
        <v>2.19</v>
      </c>
      <c r="I30" s="245">
        <v>0</v>
      </c>
      <c r="J30" s="186">
        <f t="shared" si="0"/>
        <v>0</v>
      </c>
    </row>
    <row r="31" spans="2:10" ht="41.25" customHeight="1" x14ac:dyDescent="0.25">
      <c r="B31" s="318"/>
      <c r="C31" s="181" t="s">
        <v>230</v>
      </c>
      <c r="D31" s="182" t="s">
        <v>137</v>
      </c>
      <c r="E31" s="182">
        <v>1</v>
      </c>
      <c r="F31" s="219">
        <v>1</v>
      </c>
      <c r="G31" s="196">
        <v>2864800</v>
      </c>
      <c r="H31" s="245">
        <f t="shared" si="1"/>
        <v>2.19</v>
      </c>
      <c r="I31" s="245">
        <v>7</v>
      </c>
      <c r="J31" s="186">
        <f t="shared" si="0"/>
        <v>43917384</v>
      </c>
    </row>
    <row r="32" spans="2:10" ht="41.25" hidden="1" customHeight="1" x14ac:dyDescent="0.25">
      <c r="B32" s="318"/>
      <c r="C32" s="181" t="s">
        <v>226</v>
      </c>
      <c r="D32" s="182" t="s">
        <v>168</v>
      </c>
      <c r="E32" s="182">
        <v>0</v>
      </c>
      <c r="F32" s="219">
        <v>0</v>
      </c>
      <c r="G32" s="196">
        <f>VLOOKUP(D32,Hoja2!B:D,3,0)</f>
        <v>4014000</v>
      </c>
      <c r="H32" s="245">
        <f t="shared" si="1"/>
        <v>2.19</v>
      </c>
      <c r="I32" s="245">
        <v>0</v>
      </c>
      <c r="J32" s="186">
        <f t="shared" si="0"/>
        <v>0</v>
      </c>
    </row>
    <row r="33" spans="1:12" ht="41.25" customHeight="1" x14ac:dyDescent="0.25">
      <c r="B33" s="318"/>
      <c r="C33" s="181" t="s">
        <v>227</v>
      </c>
      <c r="D33" s="182" t="s">
        <v>167</v>
      </c>
      <c r="E33" s="182">
        <v>1</v>
      </c>
      <c r="F33" s="219">
        <v>0.3</v>
      </c>
      <c r="G33" s="196">
        <v>4500000</v>
      </c>
      <c r="H33" s="245">
        <f t="shared" si="1"/>
        <v>2.19</v>
      </c>
      <c r="I33" s="245">
        <v>7</v>
      </c>
      <c r="J33" s="186">
        <f t="shared" si="0"/>
        <v>20695500</v>
      </c>
    </row>
    <row r="34" spans="1:12" ht="41.1" customHeight="1" x14ac:dyDescent="0.25">
      <c r="B34" s="319" t="s">
        <v>140</v>
      </c>
      <c r="C34" s="181" t="s">
        <v>136</v>
      </c>
      <c r="D34" s="182" t="s">
        <v>170</v>
      </c>
      <c r="E34" s="182">
        <v>1</v>
      </c>
      <c r="F34" s="219">
        <v>0.2</v>
      </c>
      <c r="G34" s="198">
        <v>2165500</v>
      </c>
      <c r="H34" s="245">
        <f t="shared" si="1"/>
        <v>2.19</v>
      </c>
      <c r="I34" s="245">
        <v>7</v>
      </c>
      <c r="J34" s="186">
        <f t="shared" si="0"/>
        <v>6639423</v>
      </c>
    </row>
    <row r="35" spans="1:12" ht="41.1" hidden="1" customHeight="1" x14ac:dyDescent="0.25">
      <c r="B35" s="320"/>
      <c r="C35" s="181" t="s">
        <v>72</v>
      </c>
      <c r="D35" s="182" t="s">
        <v>171</v>
      </c>
      <c r="E35" s="182">
        <v>0</v>
      </c>
      <c r="F35" s="219">
        <v>1</v>
      </c>
      <c r="G35" s="198">
        <f>VLOOKUP(D35,Hoja2!B:D,3,0)</f>
        <v>2078000</v>
      </c>
      <c r="H35" s="245">
        <f t="shared" si="1"/>
        <v>2.19</v>
      </c>
      <c r="I35" s="245">
        <v>0</v>
      </c>
      <c r="J35" s="186">
        <f t="shared" si="0"/>
        <v>0</v>
      </c>
    </row>
    <row r="36" spans="1:12" ht="41.1" hidden="1" customHeight="1" x14ac:dyDescent="0.25">
      <c r="B36" s="320"/>
      <c r="C36" s="181" t="s">
        <v>135</v>
      </c>
      <c r="D36" s="182" t="s">
        <v>172</v>
      </c>
      <c r="E36" s="182">
        <v>0</v>
      </c>
      <c r="F36" s="219">
        <v>0</v>
      </c>
      <c r="G36" s="198">
        <v>1916500</v>
      </c>
      <c r="H36" s="245">
        <f t="shared" si="1"/>
        <v>2.19</v>
      </c>
      <c r="I36" s="245">
        <v>0</v>
      </c>
      <c r="J36" s="186">
        <f t="shared" si="0"/>
        <v>0</v>
      </c>
    </row>
    <row r="37" spans="1:12" ht="41.1" hidden="1" customHeight="1" x14ac:dyDescent="0.25">
      <c r="B37" s="320"/>
      <c r="C37" s="181" t="s">
        <v>73</v>
      </c>
      <c r="D37" s="182" t="s">
        <v>173</v>
      </c>
      <c r="E37" s="182">
        <v>0</v>
      </c>
      <c r="F37" s="219">
        <v>0</v>
      </c>
      <c r="G37" s="198">
        <v>1827500</v>
      </c>
      <c r="H37" s="245">
        <f t="shared" si="1"/>
        <v>2.19</v>
      </c>
      <c r="I37" s="245">
        <v>0</v>
      </c>
      <c r="J37" s="186">
        <f t="shared" si="0"/>
        <v>0</v>
      </c>
    </row>
    <row r="38" spans="1:12" ht="41.1" hidden="1" customHeight="1" x14ac:dyDescent="0.25">
      <c r="B38" s="320"/>
      <c r="C38" s="181" t="s">
        <v>75</v>
      </c>
      <c r="D38" s="182" t="s">
        <v>174</v>
      </c>
      <c r="E38" s="182">
        <v>0</v>
      </c>
      <c r="F38" s="219"/>
      <c r="G38" s="198">
        <f>VLOOKUP(D38,Hoja2!B:D,3,0)</f>
        <v>1777000</v>
      </c>
      <c r="H38" s="245">
        <f t="shared" si="1"/>
        <v>2.19</v>
      </c>
      <c r="I38" s="245">
        <v>0</v>
      </c>
      <c r="J38" s="186">
        <f t="shared" si="0"/>
        <v>0</v>
      </c>
    </row>
    <row r="39" spans="1:12" ht="41.1" hidden="1" customHeight="1" x14ac:dyDescent="0.25">
      <c r="B39" s="320"/>
      <c r="C39" s="181" t="s">
        <v>134</v>
      </c>
      <c r="D39" s="182" t="s">
        <v>175</v>
      </c>
      <c r="E39" s="182">
        <v>0</v>
      </c>
      <c r="F39" s="219"/>
      <c r="G39" s="198">
        <f>VLOOKUP(D39,Hoja2!B:D,3,0)</f>
        <v>1576000</v>
      </c>
      <c r="H39" s="245">
        <f t="shared" si="1"/>
        <v>2.19</v>
      </c>
      <c r="I39" s="245">
        <v>0</v>
      </c>
      <c r="J39" s="186">
        <f t="shared" si="0"/>
        <v>0</v>
      </c>
    </row>
    <row r="40" spans="1:12" ht="41.1" customHeight="1" x14ac:dyDescent="0.25">
      <c r="B40" s="320"/>
      <c r="C40" s="181" t="s">
        <v>74</v>
      </c>
      <c r="D40" s="182" t="s">
        <v>176</v>
      </c>
      <c r="E40" s="182">
        <v>1</v>
      </c>
      <c r="F40" s="219">
        <v>1</v>
      </c>
      <c r="G40" s="198">
        <v>1548500</v>
      </c>
      <c r="H40" s="245">
        <f t="shared" si="1"/>
        <v>2.19</v>
      </c>
      <c r="I40" s="245">
        <v>7</v>
      </c>
      <c r="J40" s="186">
        <f t="shared" si="0"/>
        <v>23738505</v>
      </c>
    </row>
    <row r="41" spans="1:12" ht="41.1" hidden="1" customHeight="1" x14ac:dyDescent="0.25">
      <c r="B41" s="320"/>
      <c r="C41" s="181" t="s">
        <v>77</v>
      </c>
      <c r="D41" s="182" t="s">
        <v>176</v>
      </c>
      <c r="E41" s="182">
        <v>0</v>
      </c>
      <c r="F41" s="219"/>
      <c r="G41" s="198">
        <f>VLOOKUP(D41,Hoja2!B:D,3,0)</f>
        <v>1548000</v>
      </c>
      <c r="H41" s="245">
        <f t="shared" si="1"/>
        <v>2.19</v>
      </c>
      <c r="I41" s="245">
        <v>0</v>
      </c>
      <c r="J41" s="186">
        <f t="shared" si="0"/>
        <v>0</v>
      </c>
    </row>
    <row r="42" spans="1:12" ht="41.1" customHeight="1" x14ac:dyDescent="0.25">
      <c r="B42" s="321"/>
      <c r="C42" s="181" t="s">
        <v>179</v>
      </c>
      <c r="D42" s="182" t="s">
        <v>178</v>
      </c>
      <c r="E42" s="182">
        <v>1</v>
      </c>
      <c r="F42" s="219">
        <v>0.1</v>
      </c>
      <c r="G42" s="198">
        <v>1343500</v>
      </c>
      <c r="H42" s="245">
        <f t="shared" si="1"/>
        <v>2.19</v>
      </c>
      <c r="I42" s="245">
        <v>7</v>
      </c>
      <c r="J42" s="186">
        <f t="shared" si="0"/>
        <v>2059585.5</v>
      </c>
    </row>
    <row r="43" spans="1:12" ht="12.75" customHeight="1" x14ac:dyDescent="0.25">
      <c r="B43" s="207"/>
      <c r="D43" s="205"/>
      <c r="E43" s="205"/>
      <c r="F43" s="205"/>
      <c r="G43" s="208"/>
      <c r="H43" s="209"/>
      <c r="I43" s="209"/>
      <c r="J43" s="210"/>
    </row>
    <row r="44" spans="1:12" ht="33.75" customHeight="1" x14ac:dyDescent="0.25">
      <c r="B44" s="223" t="s">
        <v>210</v>
      </c>
      <c r="C44" s="223"/>
      <c r="D44" s="223"/>
      <c r="E44" s="223"/>
      <c r="F44" s="223"/>
      <c r="G44" s="224"/>
      <c r="H44" s="224"/>
      <c r="I44" s="224"/>
      <c r="J44" s="224">
        <f>SUM(J11:J43)</f>
        <v>454331487</v>
      </c>
    </row>
    <row r="45" spans="1:12" ht="9" customHeight="1" x14ac:dyDescent="0.25"/>
    <row r="46" spans="1:12" ht="44.25" customHeight="1" x14ac:dyDescent="0.25">
      <c r="B46" s="319" t="s">
        <v>163</v>
      </c>
      <c r="C46" s="194" t="s">
        <v>157</v>
      </c>
      <c r="D46" s="194" t="s">
        <v>156</v>
      </c>
      <c r="E46" s="176" t="s">
        <v>1</v>
      </c>
      <c r="F46" s="176" t="s">
        <v>208</v>
      </c>
      <c r="G46" s="194" t="s">
        <v>192</v>
      </c>
      <c r="H46" s="194" t="s">
        <v>193</v>
      </c>
      <c r="I46" s="194" t="s">
        <v>216</v>
      </c>
      <c r="J46" s="180" t="s">
        <v>145</v>
      </c>
    </row>
    <row r="47" spans="1:12" s="174" customFormat="1" ht="35.25" customHeight="1" x14ac:dyDescent="0.25">
      <c r="A47" s="173"/>
      <c r="B47" s="320"/>
      <c r="C47" s="189" t="s">
        <v>147</v>
      </c>
      <c r="D47" s="182" t="s">
        <v>148</v>
      </c>
      <c r="E47" s="182">
        <v>1</v>
      </c>
      <c r="F47" s="219">
        <v>0.2</v>
      </c>
      <c r="G47" s="246">
        <v>95500</v>
      </c>
      <c r="H47" s="196">
        <f>VLOOKUP(D47,Hoja2!B:D,3,0)</f>
        <v>2876000</v>
      </c>
      <c r="I47" s="185">
        <v>7</v>
      </c>
      <c r="J47" s="220">
        <f>+I47*H47*F47*E47</f>
        <v>4026400</v>
      </c>
      <c r="L47" s="173"/>
    </row>
    <row r="48" spans="1:12" s="174" customFormat="1" ht="42.75" hidden="1" customHeight="1" x14ac:dyDescent="0.25">
      <c r="A48" s="173"/>
      <c r="B48" s="320"/>
      <c r="C48" s="189" t="s">
        <v>150</v>
      </c>
      <c r="D48" s="182" t="s">
        <v>151</v>
      </c>
      <c r="E48" s="182">
        <v>0</v>
      </c>
      <c r="F48" s="219">
        <v>0</v>
      </c>
      <c r="G48" s="246">
        <f>VLOOKUP(D48,Hoja2!B:D,2,0)</f>
        <v>148533</v>
      </c>
      <c r="H48" s="196">
        <f>VLOOKUP(D48,Hoja2!B:D,3,0)</f>
        <v>4485000</v>
      </c>
      <c r="I48" s="185">
        <v>8</v>
      </c>
      <c r="J48" s="220">
        <f t="shared" ref="J48:J53" si="2">+I48*H48*F48*E48</f>
        <v>0</v>
      </c>
      <c r="L48" s="173"/>
    </row>
    <row r="49" spans="1:12" s="174" customFormat="1" ht="35.25" customHeight="1" x14ac:dyDescent="0.25">
      <c r="A49" s="173"/>
      <c r="B49" s="320"/>
      <c r="C49" s="189" t="s">
        <v>66</v>
      </c>
      <c r="D49" s="182" t="s">
        <v>151</v>
      </c>
      <c r="E49" s="182">
        <v>1</v>
      </c>
      <c r="F49" s="219">
        <v>0.2</v>
      </c>
      <c r="G49" s="246">
        <v>149400</v>
      </c>
      <c r="H49" s="196">
        <f>VLOOKUP(D49,Hoja2!B:D,3,0)</f>
        <v>4485000</v>
      </c>
      <c r="I49" s="185">
        <v>7</v>
      </c>
      <c r="J49" s="220">
        <f t="shared" si="2"/>
        <v>6279000</v>
      </c>
      <c r="L49" s="173"/>
    </row>
    <row r="50" spans="1:12" s="174" customFormat="1" ht="35.25" hidden="1" customHeight="1" x14ac:dyDescent="0.25">
      <c r="A50" s="173"/>
      <c r="B50" s="320"/>
      <c r="C50" s="189" t="s">
        <v>67</v>
      </c>
      <c r="D50" s="182" t="s">
        <v>158</v>
      </c>
      <c r="E50" s="182">
        <v>0</v>
      </c>
      <c r="F50" s="219">
        <v>0</v>
      </c>
      <c r="G50" s="246">
        <f>VLOOKUP(D50,Hoja2!B:D,2,0)</f>
        <v>241000</v>
      </c>
      <c r="H50" s="196">
        <f>VLOOKUP(D50,Hoja2!B:D,3,0)</f>
        <v>7270000</v>
      </c>
      <c r="I50" s="185">
        <v>8</v>
      </c>
      <c r="J50" s="220">
        <f t="shared" si="2"/>
        <v>0</v>
      </c>
      <c r="L50" s="173"/>
    </row>
    <row r="51" spans="1:12" s="174" customFormat="1" ht="35.25" hidden="1" customHeight="1" x14ac:dyDescent="0.25">
      <c r="A51" s="173"/>
      <c r="B51" s="320"/>
      <c r="C51" s="189" t="s">
        <v>160</v>
      </c>
      <c r="D51" s="182" t="s">
        <v>159</v>
      </c>
      <c r="E51" s="182">
        <v>0</v>
      </c>
      <c r="F51" s="219">
        <v>0</v>
      </c>
      <c r="G51" s="246">
        <f>VLOOKUP(D51,Hoja2!B:D,2,0)</f>
        <v>329000</v>
      </c>
      <c r="H51" s="196">
        <f>VLOOKUP(D51,Hoja2!B:D,3,0)</f>
        <v>9897000</v>
      </c>
      <c r="I51" s="185">
        <v>8</v>
      </c>
      <c r="J51" s="220">
        <f t="shared" si="2"/>
        <v>0</v>
      </c>
      <c r="L51" s="173"/>
    </row>
    <row r="52" spans="1:12" s="174" customFormat="1" ht="35.25" hidden="1" customHeight="1" x14ac:dyDescent="0.25">
      <c r="A52" s="173"/>
      <c r="B52" s="320"/>
      <c r="C52" s="189" t="s">
        <v>161</v>
      </c>
      <c r="D52" s="182" t="s">
        <v>152</v>
      </c>
      <c r="E52" s="182">
        <v>0</v>
      </c>
      <c r="F52" s="219">
        <v>0</v>
      </c>
      <c r="G52" s="246">
        <f>VLOOKUP(D52,Hoja2!B:D,2,0)</f>
        <v>190900</v>
      </c>
      <c r="H52" s="196">
        <f>VLOOKUP(D52,Hoja2!B:D,3,0)</f>
        <v>5756000</v>
      </c>
      <c r="I52" s="185">
        <v>8</v>
      </c>
      <c r="J52" s="220">
        <f t="shared" si="2"/>
        <v>0</v>
      </c>
      <c r="L52" s="173"/>
    </row>
    <row r="53" spans="1:12" s="174" customFormat="1" ht="35.25" hidden="1" customHeight="1" x14ac:dyDescent="0.25">
      <c r="A53" s="173"/>
      <c r="B53" s="321"/>
      <c r="C53" s="189" t="s">
        <v>162</v>
      </c>
      <c r="D53" s="182" t="s">
        <v>159</v>
      </c>
      <c r="E53" s="182">
        <v>0</v>
      </c>
      <c r="F53" s="219">
        <v>0</v>
      </c>
      <c r="G53" s="246">
        <f>VLOOKUP(D53,Hoja2!B:D,2,0)</f>
        <v>329000</v>
      </c>
      <c r="H53" s="196">
        <f>VLOOKUP(D53,Hoja2!B:D,3,0)</f>
        <v>9897000</v>
      </c>
      <c r="I53" s="185">
        <v>8</v>
      </c>
      <c r="J53" s="220">
        <f t="shared" si="2"/>
        <v>0</v>
      </c>
      <c r="L53" s="173"/>
    </row>
    <row r="54" spans="1:12" ht="8.25" customHeight="1" x14ac:dyDescent="0.25"/>
    <row r="55" spans="1:12" ht="27.75" customHeight="1" x14ac:dyDescent="0.25">
      <c r="B55" s="223" t="s">
        <v>211</v>
      </c>
      <c r="C55" s="225"/>
      <c r="D55" s="225"/>
      <c r="E55" s="225"/>
      <c r="F55" s="225"/>
      <c r="G55" s="203"/>
      <c r="H55" s="203"/>
      <c r="I55" s="203"/>
      <c r="J55" s="224">
        <f>SUM(J47:J54)</f>
        <v>10305400</v>
      </c>
    </row>
    <row r="56" spans="1:12" ht="16.5" customHeight="1" x14ac:dyDescent="0.25"/>
    <row r="57" spans="1:12" s="174" customFormat="1" ht="83.25" customHeight="1" x14ac:dyDescent="0.25">
      <c r="A57" s="173"/>
      <c r="B57" s="226" t="s">
        <v>212</v>
      </c>
      <c r="C57" s="227" t="s">
        <v>183</v>
      </c>
      <c r="D57" s="322" t="s">
        <v>184</v>
      </c>
      <c r="E57" s="322"/>
      <c r="F57" s="322"/>
      <c r="G57" s="322"/>
      <c r="H57" s="228">
        <v>0.01</v>
      </c>
      <c r="I57" s="228"/>
      <c r="J57" s="224">
        <f>+J44*H57</f>
        <v>4543314.87</v>
      </c>
      <c r="L57" s="173"/>
    </row>
    <row r="58" spans="1:12" s="174" customFormat="1" ht="23.25" customHeight="1" x14ac:dyDescent="0.25">
      <c r="A58" s="173"/>
      <c r="B58" s="173"/>
      <c r="C58" s="173"/>
      <c r="D58" s="173"/>
      <c r="E58" s="173"/>
      <c r="F58" s="173"/>
      <c r="G58" s="217"/>
      <c r="H58" s="217"/>
      <c r="I58" s="217"/>
      <c r="J58" s="218"/>
      <c r="L58" s="173"/>
    </row>
    <row r="59" spans="1:12" s="174" customFormat="1" ht="26.25" customHeight="1" x14ac:dyDescent="0.25">
      <c r="A59" s="173"/>
      <c r="B59" s="226" t="s">
        <v>213</v>
      </c>
      <c r="C59" s="227" t="s">
        <v>186</v>
      </c>
      <c r="D59" s="307"/>
      <c r="E59" s="308"/>
      <c r="F59" s="308"/>
      <c r="G59" s="308"/>
      <c r="H59" s="309"/>
      <c r="I59" s="232"/>
      <c r="J59" s="249">
        <v>0</v>
      </c>
      <c r="L59" s="173"/>
    </row>
    <row r="60" spans="1:12" s="174" customFormat="1" ht="28.5" customHeight="1" x14ac:dyDescent="0.25">
      <c r="A60" s="173"/>
      <c r="B60" s="211"/>
      <c r="C60" s="200"/>
      <c r="D60" s="200"/>
      <c r="E60" s="200"/>
      <c r="F60" s="200"/>
      <c r="G60" s="200"/>
      <c r="H60" s="212"/>
      <c r="I60" s="212"/>
      <c r="J60" s="213"/>
      <c r="L60" s="173"/>
    </row>
    <row r="61" spans="1:12" s="174" customFormat="1" ht="28.5" customHeight="1" x14ac:dyDescent="0.25">
      <c r="A61" s="173"/>
      <c r="B61" s="215" t="s">
        <v>209</v>
      </c>
      <c r="C61" s="310"/>
      <c r="D61" s="311"/>
      <c r="E61" s="311"/>
      <c r="F61" s="311"/>
      <c r="G61" s="311"/>
      <c r="H61" s="312"/>
      <c r="I61" s="222"/>
      <c r="J61" s="214">
        <f>+J59+J57+J55+J44</f>
        <v>469180201.87</v>
      </c>
      <c r="L61" s="173"/>
    </row>
    <row r="62" spans="1:12" s="174" customFormat="1" ht="28.5" customHeight="1" x14ac:dyDescent="0.25">
      <c r="A62" s="173"/>
      <c r="B62" s="216" t="s">
        <v>214</v>
      </c>
      <c r="C62" s="323"/>
      <c r="D62" s="323"/>
      <c r="E62" s="323"/>
      <c r="F62" s="323"/>
      <c r="G62" s="323"/>
      <c r="H62" s="323"/>
      <c r="I62" s="247">
        <v>0.19</v>
      </c>
      <c r="J62" s="214">
        <f>+J61*I62</f>
        <v>89144238.355300009</v>
      </c>
      <c r="L62" s="173"/>
    </row>
    <row r="63" spans="1:12" s="174" customFormat="1" ht="28.5" customHeight="1" x14ac:dyDescent="0.25">
      <c r="A63" s="173"/>
      <c r="B63" s="229" t="s">
        <v>215</v>
      </c>
      <c r="C63" s="316"/>
      <c r="D63" s="316"/>
      <c r="E63" s="316"/>
      <c r="F63" s="316"/>
      <c r="G63" s="316"/>
      <c r="H63" s="316"/>
      <c r="I63" s="233"/>
      <c r="J63" s="230">
        <f>ROUND(J62+J61,0)</f>
        <v>558324440</v>
      </c>
      <c r="L63" s="173"/>
    </row>
    <row r="64" spans="1:12" s="174" customFormat="1" ht="30.75" customHeight="1" x14ac:dyDescent="0.25">
      <c r="A64" s="173"/>
      <c r="B64" s="231" t="s">
        <v>180</v>
      </c>
      <c r="C64" s="173"/>
      <c r="D64" s="173"/>
      <c r="E64" s="173"/>
      <c r="F64" s="173"/>
      <c r="G64" s="175"/>
      <c r="H64" s="197"/>
      <c r="I64" s="197"/>
      <c r="J64" s="197"/>
      <c r="L64" s="173"/>
    </row>
    <row r="65" spans="1:12" s="174" customFormat="1" ht="24.75" customHeight="1" x14ac:dyDescent="0.25">
      <c r="A65" s="173"/>
      <c r="B65" s="231" t="s">
        <v>181</v>
      </c>
      <c r="C65" s="173"/>
      <c r="D65" s="173"/>
      <c r="E65" s="173"/>
      <c r="F65" s="173"/>
      <c r="G65" s="175"/>
      <c r="H65" s="197"/>
      <c r="I65" s="197"/>
      <c r="J65" s="197"/>
      <c r="L65" s="173"/>
    </row>
    <row r="66" spans="1:12" s="174" customFormat="1" ht="30" customHeight="1" x14ac:dyDescent="0.25">
      <c r="A66" s="173"/>
      <c r="B66" s="231" t="s">
        <v>188</v>
      </c>
      <c r="C66" s="173"/>
      <c r="D66" s="173"/>
      <c r="E66" s="173"/>
      <c r="F66" s="173"/>
      <c r="G66" s="175"/>
      <c r="H66" s="175"/>
      <c r="I66" s="175"/>
      <c r="J66" s="175"/>
      <c r="L66" s="173"/>
    </row>
    <row r="72" spans="1:12" ht="19.5" customHeight="1" x14ac:dyDescent="0.25">
      <c r="B72" s="200" t="s">
        <v>198</v>
      </c>
    </row>
    <row r="73" spans="1:12" ht="18" x14ac:dyDescent="0.25">
      <c r="B73" s="201"/>
    </row>
    <row r="74" spans="1:12" ht="18" customHeight="1" x14ac:dyDescent="0.25">
      <c r="B74" s="202"/>
    </row>
    <row r="75" spans="1:12" ht="18" x14ac:dyDescent="0.25">
      <c r="B75" s="202"/>
    </row>
    <row r="80" spans="1:12" x14ac:dyDescent="0.25">
      <c r="D80" s="173">
        <v>5852</v>
      </c>
      <c r="E80" s="173">
        <f>+D80/60</f>
        <v>97.533333333333331</v>
      </c>
      <c r="F80" s="173">
        <f>+E80/30</f>
        <v>3.2511111111111108</v>
      </c>
      <c r="G80" s="173">
        <f>+F80+1</f>
        <v>4.2511111111111113</v>
      </c>
      <c r="H80" s="175" t="s">
        <v>242</v>
      </c>
    </row>
  </sheetData>
  <protectedRanges>
    <protectedRange sqref="J10 J46" name="Rango1_4_1_2_1_1"/>
  </protectedRanges>
  <mergeCells count="10">
    <mergeCell ref="D59:H59"/>
    <mergeCell ref="C61:H61"/>
    <mergeCell ref="C62:H62"/>
    <mergeCell ref="C63:H63"/>
    <mergeCell ref="B5:J5"/>
    <mergeCell ref="B11:B13"/>
    <mergeCell ref="B14:B33"/>
    <mergeCell ref="B34:B42"/>
    <mergeCell ref="B46:B53"/>
    <mergeCell ref="D57:G57"/>
  </mergeCells>
  <printOptions horizontalCentered="1"/>
  <pageMargins left="0.54" right="0.28000000000000003" top="0.33" bottom="0.3" header="0.31496062992125984" footer="0.31496062992125984"/>
  <pageSetup scale="3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700-000000000000}">
          <x14:formula1>
            <xm:f>Hoja2!$J$14:$J$20</xm:f>
          </x14:formula1>
          <xm:sqref>D47:D53</xm:sqref>
        </x14:dataValidation>
        <x14:dataValidation type="list" allowBlank="1" showInputMessage="1" showErrorMessage="1" xr:uid="{00000000-0002-0000-0700-000001000000}">
          <x14:formula1>
            <xm:f>Hoja2!$I$14:$I$22</xm:f>
          </x14:formula1>
          <xm:sqref>D34:D43</xm:sqref>
        </x14:dataValidation>
        <x14:dataValidation type="list" allowBlank="1" showInputMessage="1" showErrorMessage="1" xr:uid="{00000000-0002-0000-0700-000002000000}">
          <x14:formula1>
            <xm:f>Hoja2!$H$14:$H$20</xm:f>
          </x14:formula1>
          <xm:sqref>D14:D33</xm:sqref>
        </x14:dataValidation>
        <x14:dataValidation type="list" allowBlank="1" showInputMessage="1" showErrorMessage="1" xr:uid="{00000000-0002-0000-0700-000003000000}">
          <x14:formula1>
            <xm:f>Hoja2!$G$14:$G$16</xm:f>
          </x14:formula1>
          <xm:sqref>D11:D13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5:L79"/>
  <sheetViews>
    <sheetView view="pageBreakPreview" topLeftCell="B16" zoomScale="70" zoomScaleNormal="85" zoomScaleSheetLayoutView="70" workbookViewId="0">
      <pane ySplit="5160" topLeftCell="A40"/>
      <selection activeCell="H58" sqref="H58"/>
      <selection pane="bottomLeft" activeCell="H58" sqref="H58"/>
    </sheetView>
  </sheetViews>
  <sheetFormatPr baseColWidth="10" defaultColWidth="11.42578125" defaultRowHeight="15" x14ac:dyDescent="0.25"/>
  <cols>
    <col min="1" max="1" width="4" style="173" customWidth="1"/>
    <col min="2" max="2" width="48.5703125" style="173" customWidth="1"/>
    <col min="3" max="3" width="54" style="173" customWidth="1"/>
    <col min="4" max="4" width="17.5703125" style="173" bestFit="1" customWidth="1"/>
    <col min="5" max="5" width="13.42578125" style="173" bestFit="1" customWidth="1"/>
    <col min="6" max="6" width="20" style="173" bestFit="1" customWidth="1"/>
    <col min="7" max="7" width="24.85546875" style="175" customWidth="1"/>
    <col min="8" max="8" width="24" style="175" customWidth="1"/>
    <col min="9" max="9" width="25.5703125" style="175" customWidth="1"/>
    <col min="10" max="10" width="31.42578125" style="175" customWidth="1"/>
    <col min="11" max="11" width="19" style="174" customWidth="1"/>
    <col min="12" max="12" width="18" style="173" bestFit="1" customWidth="1"/>
    <col min="13" max="16384" width="11.42578125" style="173"/>
  </cols>
  <sheetData>
    <row r="5" spans="2:12" ht="15.75" x14ac:dyDescent="0.25">
      <c r="B5" s="317" t="s">
        <v>189</v>
      </c>
      <c r="C5" s="317"/>
      <c r="D5" s="317"/>
      <c r="E5" s="317"/>
      <c r="F5" s="317"/>
      <c r="G5" s="317"/>
      <c r="H5" s="317"/>
      <c r="I5" s="317"/>
      <c r="J5" s="317"/>
    </row>
    <row r="7" spans="2:12" ht="33" customHeight="1" x14ac:dyDescent="0.25">
      <c r="B7" s="231" t="s">
        <v>238</v>
      </c>
    </row>
    <row r="10" spans="2:12" ht="72" customHeight="1" x14ac:dyDescent="0.25">
      <c r="B10" s="221" t="s">
        <v>142</v>
      </c>
      <c r="C10" s="176" t="s">
        <v>144</v>
      </c>
      <c r="D10" s="176" t="s">
        <v>143</v>
      </c>
      <c r="E10" s="176" t="s">
        <v>1</v>
      </c>
      <c r="F10" s="176" t="s">
        <v>208</v>
      </c>
      <c r="G10" s="199" t="s">
        <v>191</v>
      </c>
      <c r="H10" s="179" t="s">
        <v>146</v>
      </c>
      <c r="I10" s="199" t="s">
        <v>229</v>
      </c>
      <c r="J10" s="180" t="s">
        <v>145</v>
      </c>
    </row>
    <row r="11" spans="2:12" ht="50.25" customHeight="1" x14ac:dyDescent="0.25">
      <c r="B11" s="318" t="s">
        <v>138</v>
      </c>
      <c r="C11" s="181" t="s">
        <v>200</v>
      </c>
      <c r="D11" s="182" t="s">
        <v>165</v>
      </c>
      <c r="E11" s="182">
        <v>1</v>
      </c>
      <c r="F11" s="219">
        <v>1</v>
      </c>
      <c r="G11" s="196">
        <v>5862500</v>
      </c>
      <c r="H11" s="245">
        <v>2.19</v>
      </c>
      <c r="I11" s="245">
        <v>10</v>
      </c>
      <c r="J11" s="186">
        <f>+I11*H11*G11*F11*E11</f>
        <v>128388749.99999999</v>
      </c>
    </row>
    <row r="12" spans="2:12" ht="36.75" hidden="1" customHeight="1" x14ac:dyDescent="0.25">
      <c r="B12" s="318"/>
      <c r="C12" s="181" t="s">
        <v>200</v>
      </c>
      <c r="D12" s="182" t="s">
        <v>165</v>
      </c>
      <c r="E12" s="182">
        <v>0</v>
      </c>
      <c r="F12" s="219"/>
      <c r="G12" s="196">
        <v>5862000</v>
      </c>
      <c r="H12" s="245">
        <f>+$H$11</f>
        <v>2.19</v>
      </c>
      <c r="I12" s="245">
        <v>0</v>
      </c>
      <c r="J12" s="186">
        <f t="shared" ref="J12:J42" si="0">+I12*H12*G12*F12*E12</f>
        <v>0</v>
      </c>
    </row>
    <row r="13" spans="2:12" ht="41.25" hidden="1" customHeight="1" x14ac:dyDescent="0.25">
      <c r="B13" s="318"/>
      <c r="C13" s="181" t="s">
        <v>200</v>
      </c>
      <c r="D13" s="182" t="s">
        <v>166</v>
      </c>
      <c r="E13" s="182">
        <v>0</v>
      </c>
      <c r="F13" s="219"/>
      <c r="G13" s="196">
        <v>4992000</v>
      </c>
      <c r="H13" s="245">
        <f t="shared" ref="H13:H42" si="1">+$H$11</f>
        <v>2.19</v>
      </c>
      <c r="I13" s="245">
        <v>0</v>
      </c>
      <c r="J13" s="186">
        <f t="shared" si="0"/>
        <v>0</v>
      </c>
    </row>
    <row r="14" spans="2:12" ht="62.25" hidden="1" customHeight="1" x14ac:dyDescent="0.25">
      <c r="B14" s="318" t="s">
        <v>68</v>
      </c>
      <c r="C14" s="181" t="s">
        <v>201</v>
      </c>
      <c r="D14" s="182" t="s">
        <v>164</v>
      </c>
      <c r="E14" s="182">
        <v>0</v>
      </c>
      <c r="F14" s="219"/>
      <c r="G14" s="196">
        <v>6946500</v>
      </c>
      <c r="H14" s="245">
        <f t="shared" si="1"/>
        <v>2.19</v>
      </c>
      <c r="I14" s="245">
        <v>0</v>
      </c>
      <c r="J14" s="186">
        <f t="shared" si="0"/>
        <v>0</v>
      </c>
    </row>
    <row r="15" spans="2:12" ht="41.25" hidden="1" customHeight="1" x14ac:dyDescent="0.25">
      <c r="B15" s="318"/>
      <c r="C15" s="181" t="s">
        <v>202</v>
      </c>
      <c r="D15" s="182" t="s">
        <v>165</v>
      </c>
      <c r="E15" s="182">
        <v>0</v>
      </c>
      <c r="F15" s="219"/>
      <c r="G15" s="196">
        <v>5862000</v>
      </c>
      <c r="H15" s="245">
        <f t="shared" si="1"/>
        <v>2.19</v>
      </c>
      <c r="I15" s="245">
        <v>0</v>
      </c>
      <c r="J15" s="186">
        <f t="shared" si="0"/>
        <v>0</v>
      </c>
    </row>
    <row r="16" spans="2:12" ht="41.25" customHeight="1" x14ac:dyDescent="0.25">
      <c r="B16" s="318"/>
      <c r="C16" s="181" t="s">
        <v>203</v>
      </c>
      <c r="D16" s="182" t="s">
        <v>168</v>
      </c>
      <c r="E16" s="182">
        <v>1</v>
      </c>
      <c r="F16" s="219">
        <v>0.2</v>
      </c>
      <c r="G16" s="196">
        <v>4500000</v>
      </c>
      <c r="H16" s="245">
        <f t="shared" si="1"/>
        <v>2.19</v>
      </c>
      <c r="I16" s="245">
        <v>9</v>
      </c>
      <c r="J16" s="186">
        <f t="shared" si="0"/>
        <v>17739000</v>
      </c>
      <c r="K16" s="186">
        <f>+J16/I16</f>
        <v>1971000</v>
      </c>
      <c r="L16" s="210">
        <f>+K16*3</f>
        <v>5913000</v>
      </c>
    </row>
    <row r="17" spans="2:10" ht="41.25" customHeight="1" x14ac:dyDescent="0.25">
      <c r="B17" s="318"/>
      <c r="C17" s="181" t="s">
        <v>204</v>
      </c>
      <c r="D17" s="182" t="s">
        <v>167</v>
      </c>
      <c r="E17" s="182">
        <v>1</v>
      </c>
      <c r="F17" s="219">
        <v>0.2</v>
      </c>
      <c r="G17" s="196">
        <v>4500000</v>
      </c>
      <c r="H17" s="245">
        <f t="shared" si="1"/>
        <v>2.19</v>
      </c>
      <c r="I17" s="245">
        <v>9</v>
      </c>
      <c r="J17" s="186">
        <f t="shared" si="0"/>
        <v>17739000</v>
      </c>
    </row>
    <row r="18" spans="2:10" ht="46.5" customHeight="1" x14ac:dyDescent="0.25">
      <c r="B18" s="318"/>
      <c r="C18" s="181" t="s">
        <v>205</v>
      </c>
      <c r="D18" s="182" t="s">
        <v>167</v>
      </c>
      <c r="E18" s="182">
        <v>1</v>
      </c>
      <c r="F18" s="219">
        <v>0.2</v>
      </c>
      <c r="G18" s="196">
        <v>4500000</v>
      </c>
      <c r="H18" s="245">
        <f t="shared" si="1"/>
        <v>2.19</v>
      </c>
      <c r="I18" s="245">
        <v>9</v>
      </c>
      <c r="J18" s="186">
        <f t="shared" si="0"/>
        <v>17739000</v>
      </c>
    </row>
    <row r="19" spans="2:10" ht="41.25" customHeight="1" x14ac:dyDescent="0.25">
      <c r="B19" s="318"/>
      <c r="C19" s="181" t="s">
        <v>206</v>
      </c>
      <c r="D19" s="182" t="s">
        <v>167</v>
      </c>
      <c r="E19" s="182">
        <v>1</v>
      </c>
      <c r="F19" s="219">
        <v>0.2</v>
      </c>
      <c r="G19" s="196">
        <v>4500000</v>
      </c>
      <c r="H19" s="245">
        <f t="shared" si="1"/>
        <v>2.19</v>
      </c>
      <c r="I19" s="245">
        <v>9</v>
      </c>
      <c r="J19" s="186">
        <f t="shared" si="0"/>
        <v>17739000</v>
      </c>
    </row>
    <row r="20" spans="2:10" ht="41.25" customHeight="1" x14ac:dyDescent="0.25">
      <c r="B20" s="318"/>
      <c r="C20" s="181" t="s">
        <v>207</v>
      </c>
      <c r="D20" s="182" t="s">
        <v>167</v>
      </c>
      <c r="E20" s="182">
        <v>1</v>
      </c>
      <c r="F20" s="219">
        <v>0.2</v>
      </c>
      <c r="G20" s="196">
        <v>4500000</v>
      </c>
      <c r="H20" s="245">
        <f t="shared" si="1"/>
        <v>2.19</v>
      </c>
      <c r="I20" s="245">
        <v>9</v>
      </c>
      <c r="J20" s="186">
        <f t="shared" si="0"/>
        <v>17739000</v>
      </c>
    </row>
    <row r="21" spans="2:10" ht="41.25" hidden="1" customHeight="1" x14ac:dyDescent="0.25">
      <c r="B21" s="318"/>
      <c r="C21" s="235" t="s">
        <v>217</v>
      </c>
      <c r="D21" s="182" t="s">
        <v>167</v>
      </c>
      <c r="E21" s="182">
        <v>0</v>
      </c>
      <c r="F21" s="219"/>
      <c r="G21" s="196">
        <v>4501000</v>
      </c>
      <c r="H21" s="245">
        <f t="shared" si="1"/>
        <v>2.19</v>
      </c>
      <c r="I21" s="245">
        <v>0</v>
      </c>
      <c r="J21" s="186">
        <f t="shared" si="0"/>
        <v>0</v>
      </c>
    </row>
    <row r="22" spans="2:10" ht="41.25" hidden="1" customHeight="1" x14ac:dyDescent="0.25">
      <c r="B22" s="318"/>
      <c r="C22" s="235" t="s">
        <v>218</v>
      </c>
      <c r="D22" s="182" t="s">
        <v>166</v>
      </c>
      <c r="E22" s="182">
        <v>0</v>
      </c>
      <c r="F22" s="219"/>
      <c r="G22" s="196">
        <v>4992000</v>
      </c>
      <c r="H22" s="245">
        <f t="shared" si="1"/>
        <v>2.19</v>
      </c>
      <c r="I22" s="245">
        <v>0</v>
      </c>
      <c r="J22" s="186">
        <f t="shared" si="0"/>
        <v>0</v>
      </c>
    </row>
    <row r="23" spans="2:10" ht="41.25" customHeight="1" x14ac:dyDescent="0.25">
      <c r="B23" s="318"/>
      <c r="C23" s="237" t="s">
        <v>219</v>
      </c>
      <c r="D23" s="182" t="s">
        <v>167</v>
      </c>
      <c r="E23" s="182">
        <v>1</v>
      </c>
      <c r="F23" s="219">
        <v>0.2</v>
      </c>
      <c r="G23" s="196">
        <v>4500000</v>
      </c>
      <c r="H23" s="245">
        <f t="shared" si="1"/>
        <v>2.19</v>
      </c>
      <c r="I23" s="245">
        <v>9</v>
      </c>
      <c r="J23" s="186">
        <f t="shared" si="0"/>
        <v>17739000</v>
      </c>
    </row>
    <row r="24" spans="2:10" ht="41.25" hidden="1" customHeight="1" x14ac:dyDescent="0.25">
      <c r="B24" s="318"/>
      <c r="C24" s="237" t="s">
        <v>220</v>
      </c>
      <c r="D24" s="182" t="s">
        <v>165</v>
      </c>
      <c r="E24" s="182">
        <v>0</v>
      </c>
      <c r="F24" s="219"/>
      <c r="G24" s="196">
        <v>5862000</v>
      </c>
      <c r="H24" s="245">
        <f t="shared" si="1"/>
        <v>2.19</v>
      </c>
      <c r="I24" s="245">
        <v>0</v>
      </c>
      <c r="J24" s="186">
        <f t="shared" si="0"/>
        <v>0</v>
      </c>
    </row>
    <row r="25" spans="2:10" ht="41.25" customHeight="1" x14ac:dyDescent="0.25">
      <c r="B25" s="318"/>
      <c r="C25" s="237" t="s">
        <v>228</v>
      </c>
      <c r="D25" s="182" t="s">
        <v>167</v>
      </c>
      <c r="E25" s="182">
        <v>1</v>
      </c>
      <c r="F25" s="219">
        <v>0.05</v>
      </c>
      <c r="G25" s="196">
        <v>4500000</v>
      </c>
      <c r="H25" s="245">
        <f t="shared" si="1"/>
        <v>2.19</v>
      </c>
      <c r="I25" s="245">
        <v>9</v>
      </c>
      <c r="J25" s="186">
        <f t="shared" si="0"/>
        <v>4434750</v>
      </c>
    </row>
    <row r="26" spans="2:10" ht="41.25" customHeight="1" x14ac:dyDescent="0.25">
      <c r="B26" s="318"/>
      <c r="C26" s="237" t="s">
        <v>221</v>
      </c>
      <c r="D26" s="182" t="s">
        <v>167</v>
      </c>
      <c r="E26" s="182">
        <v>1</v>
      </c>
      <c r="F26" s="219">
        <v>1</v>
      </c>
      <c r="G26" s="196">
        <v>4500000</v>
      </c>
      <c r="H26" s="245">
        <f t="shared" si="1"/>
        <v>2.19</v>
      </c>
      <c r="I26" s="245">
        <v>9</v>
      </c>
      <c r="J26" s="186">
        <f t="shared" si="0"/>
        <v>88695000</v>
      </c>
    </row>
    <row r="27" spans="2:10" ht="41.25" customHeight="1" x14ac:dyDescent="0.25">
      <c r="B27" s="318"/>
      <c r="C27" s="237" t="s">
        <v>222</v>
      </c>
      <c r="D27" s="182" t="s">
        <v>165</v>
      </c>
      <c r="E27" s="182">
        <v>1</v>
      </c>
      <c r="F27" s="219">
        <v>1</v>
      </c>
      <c r="G27" s="196">
        <v>5862500</v>
      </c>
      <c r="H27" s="245">
        <f t="shared" si="1"/>
        <v>2.19</v>
      </c>
      <c r="I27" s="245">
        <v>9</v>
      </c>
      <c r="J27" s="186">
        <f t="shared" si="0"/>
        <v>115549875</v>
      </c>
    </row>
    <row r="28" spans="2:10" ht="41.25" hidden="1" customHeight="1" x14ac:dyDescent="0.25">
      <c r="B28" s="318"/>
      <c r="C28" s="237" t="s">
        <v>223</v>
      </c>
      <c r="D28" s="182" t="s">
        <v>167</v>
      </c>
      <c r="E28" s="182">
        <v>0</v>
      </c>
      <c r="F28" s="219">
        <v>0</v>
      </c>
      <c r="G28" s="196">
        <v>4501000</v>
      </c>
      <c r="H28" s="245">
        <f t="shared" si="1"/>
        <v>2.19</v>
      </c>
      <c r="I28" s="245">
        <v>0</v>
      </c>
      <c r="J28" s="186">
        <f t="shared" si="0"/>
        <v>0</v>
      </c>
    </row>
    <row r="29" spans="2:10" ht="41.25" hidden="1" customHeight="1" x14ac:dyDescent="0.25">
      <c r="B29" s="318"/>
      <c r="C29" s="237" t="s">
        <v>224</v>
      </c>
      <c r="D29" s="182" t="s">
        <v>165</v>
      </c>
      <c r="E29" s="182">
        <v>0</v>
      </c>
      <c r="F29" s="219">
        <v>0</v>
      </c>
      <c r="G29" s="196">
        <v>5862000</v>
      </c>
      <c r="H29" s="245">
        <f t="shared" si="1"/>
        <v>2.19</v>
      </c>
      <c r="I29" s="245">
        <v>0</v>
      </c>
      <c r="J29" s="186">
        <f t="shared" si="0"/>
        <v>0</v>
      </c>
    </row>
    <row r="30" spans="2:10" ht="41.25" hidden="1" customHeight="1" x14ac:dyDescent="0.25">
      <c r="B30" s="318"/>
      <c r="C30" s="237" t="s">
        <v>225</v>
      </c>
      <c r="D30" s="182" t="s">
        <v>165</v>
      </c>
      <c r="E30" s="182">
        <v>0</v>
      </c>
      <c r="F30" s="219">
        <v>0</v>
      </c>
      <c r="G30" s="196">
        <v>5862000</v>
      </c>
      <c r="H30" s="245">
        <f t="shared" si="1"/>
        <v>2.19</v>
      </c>
      <c r="I30" s="245">
        <v>0</v>
      </c>
      <c r="J30" s="186">
        <f t="shared" si="0"/>
        <v>0</v>
      </c>
    </row>
    <row r="31" spans="2:10" ht="41.25" customHeight="1" x14ac:dyDescent="0.25">
      <c r="B31" s="318"/>
      <c r="C31" s="237" t="s">
        <v>230</v>
      </c>
      <c r="D31" s="182" t="s">
        <v>137</v>
      </c>
      <c r="E31" s="182">
        <v>1</v>
      </c>
      <c r="F31" s="219">
        <v>1</v>
      </c>
      <c r="G31" s="196">
        <v>2864800</v>
      </c>
      <c r="H31" s="245">
        <f t="shared" si="1"/>
        <v>2.19</v>
      </c>
      <c r="I31" s="245">
        <v>9</v>
      </c>
      <c r="J31" s="186">
        <f t="shared" si="0"/>
        <v>56465208</v>
      </c>
    </row>
    <row r="32" spans="2:10" ht="41.25" hidden="1" customHeight="1" x14ac:dyDescent="0.25">
      <c r="B32" s="318"/>
      <c r="C32" s="237" t="s">
        <v>226</v>
      </c>
      <c r="D32" s="182" t="s">
        <v>168</v>
      </c>
      <c r="E32" s="182">
        <v>0</v>
      </c>
      <c r="F32" s="219">
        <v>0</v>
      </c>
      <c r="G32" s="196">
        <v>4014000</v>
      </c>
      <c r="H32" s="245">
        <f t="shared" si="1"/>
        <v>2.19</v>
      </c>
      <c r="I32" s="245">
        <v>0</v>
      </c>
      <c r="J32" s="186">
        <f t="shared" si="0"/>
        <v>0</v>
      </c>
    </row>
    <row r="33" spans="1:12" ht="41.25" customHeight="1" x14ac:dyDescent="0.25">
      <c r="B33" s="318"/>
      <c r="C33" s="237" t="s">
        <v>227</v>
      </c>
      <c r="D33" s="182" t="s">
        <v>167</v>
      </c>
      <c r="E33" s="182">
        <v>1</v>
      </c>
      <c r="F33" s="219">
        <v>0.3</v>
      </c>
      <c r="G33" s="196">
        <v>4500000</v>
      </c>
      <c r="H33" s="245">
        <f t="shared" si="1"/>
        <v>2.19</v>
      </c>
      <c r="I33" s="245">
        <v>9</v>
      </c>
      <c r="J33" s="186">
        <f t="shared" si="0"/>
        <v>26608500</v>
      </c>
    </row>
    <row r="34" spans="1:12" ht="41.1" customHeight="1" x14ac:dyDescent="0.25">
      <c r="B34" s="319" t="s">
        <v>140</v>
      </c>
      <c r="C34" s="181" t="s">
        <v>136</v>
      </c>
      <c r="D34" s="182" t="s">
        <v>170</v>
      </c>
      <c r="E34" s="182">
        <v>1</v>
      </c>
      <c r="F34" s="219">
        <v>0.2</v>
      </c>
      <c r="G34" s="198">
        <v>2165500</v>
      </c>
      <c r="H34" s="245">
        <f t="shared" si="1"/>
        <v>2.19</v>
      </c>
      <c r="I34" s="245">
        <v>9</v>
      </c>
      <c r="J34" s="186">
        <f t="shared" si="0"/>
        <v>8536401</v>
      </c>
    </row>
    <row r="35" spans="1:12" ht="41.1" hidden="1" customHeight="1" x14ac:dyDescent="0.25">
      <c r="B35" s="320"/>
      <c r="C35" s="181" t="s">
        <v>72</v>
      </c>
      <c r="D35" s="182" t="s">
        <v>171</v>
      </c>
      <c r="E35" s="182">
        <v>0</v>
      </c>
      <c r="F35" s="219">
        <v>1</v>
      </c>
      <c r="G35" s="198">
        <v>2078000</v>
      </c>
      <c r="H35" s="245">
        <f t="shared" si="1"/>
        <v>2.19</v>
      </c>
      <c r="I35" s="245">
        <v>0</v>
      </c>
      <c r="J35" s="186">
        <f t="shared" si="0"/>
        <v>0</v>
      </c>
    </row>
    <row r="36" spans="1:12" ht="40.5" hidden="1" customHeight="1" x14ac:dyDescent="0.25">
      <c r="B36" s="320"/>
      <c r="C36" s="181" t="s">
        <v>135</v>
      </c>
      <c r="D36" s="182" t="s">
        <v>172</v>
      </c>
      <c r="E36" s="182">
        <v>0</v>
      </c>
      <c r="F36" s="219">
        <v>0</v>
      </c>
      <c r="G36" s="198">
        <v>1916500</v>
      </c>
      <c r="H36" s="245">
        <f t="shared" si="1"/>
        <v>2.19</v>
      </c>
      <c r="I36" s="245">
        <v>0</v>
      </c>
      <c r="J36" s="186">
        <f t="shared" si="0"/>
        <v>0</v>
      </c>
    </row>
    <row r="37" spans="1:12" ht="40.5" hidden="1" customHeight="1" x14ac:dyDescent="0.25">
      <c r="B37" s="320"/>
      <c r="C37" s="181" t="s">
        <v>73</v>
      </c>
      <c r="D37" s="182" t="s">
        <v>173</v>
      </c>
      <c r="E37" s="182">
        <v>0</v>
      </c>
      <c r="F37" s="219">
        <v>0</v>
      </c>
      <c r="G37" s="198">
        <v>1827500</v>
      </c>
      <c r="H37" s="245">
        <f t="shared" si="1"/>
        <v>2.19</v>
      </c>
      <c r="I37" s="245">
        <v>0</v>
      </c>
      <c r="J37" s="186">
        <f t="shared" si="0"/>
        <v>0</v>
      </c>
    </row>
    <row r="38" spans="1:12" ht="40.5" hidden="1" customHeight="1" x14ac:dyDescent="0.25">
      <c r="B38" s="320"/>
      <c r="C38" s="181" t="s">
        <v>75</v>
      </c>
      <c r="D38" s="182" t="s">
        <v>174</v>
      </c>
      <c r="E38" s="182">
        <v>0</v>
      </c>
      <c r="F38" s="219"/>
      <c r="G38" s="198">
        <v>1777000</v>
      </c>
      <c r="H38" s="245">
        <f t="shared" si="1"/>
        <v>2.19</v>
      </c>
      <c r="I38" s="245">
        <v>0</v>
      </c>
      <c r="J38" s="186">
        <f t="shared" si="0"/>
        <v>0</v>
      </c>
    </row>
    <row r="39" spans="1:12" ht="40.5" hidden="1" customHeight="1" x14ac:dyDescent="0.25">
      <c r="B39" s="320"/>
      <c r="C39" s="181" t="s">
        <v>134</v>
      </c>
      <c r="D39" s="182" t="s">
        <v>175</v>
      </c>
      <c r="E39" s="182">
        <v>0</v>
      </c>
      <c r="F39" s="219"/>
      <c r="G39" s="198">
        <v>1576000</v>
      </c>
      <c r="H39" s="245">
        <f t="shared" si="1"/>
        <v>2.19</v>
      </c>
      <c r="I39" s="245">
        <v>0</v>
      </c>
      <c r="J39" s="186">
        <f t="shared" si="0"/>
        <v>0</v>
      </c>
    </row>
    <row r="40" spans="1:12" ht="40.5" customHeight="1" x14ac:dyDescent="0.25">
      <c r="B40" s="320"/>
      <c r="C40" s="181" t="s">
        <v>74</v>
      </c>
      <c r="D40" s="182" t="s">
        <v>176</v>
      </c>
      <c r="E40" s="182">
        <v>1</v>
      </c>
      <c r="F40" s="219">
        <v>1</v>
      </c>
      <c r="G40" s="198">
        <v>1548500</v>
      </c>
      <c r="H40" s="245">
        <f t="shared" si="1"/>
        <v>2.19</v>
      </c>
      <c r="I40" s="245">
        <v>9</v>
      </c>
      <c r="J40" s="186">
        <f t="shared" si="0"/>
        <v>30520935</v>
      </c>
    </row>
    <row r="41" spans="1:12" ht="40.5" hidden="1" customHeight="1" x14ac:dyDescent="0.25">
      <c r="B41" s="320"/>
      <c r="C41" s="181" t="s">
        <v>77</v>
      </c>
      <c r="D41" s="182" t="s">
        <v>176</v>
      </c>
      <c r="E41" s="182">
        <v>0</v>
      </c>
      <c r="F41" s="219"/>
      <c r="G41" s="198">
        <v>1548000</v>
      </c>
      <c r="H41" s="245">
        <f t="shared" si="1"/>
        <v>2.19</v>
      </c>
      <c r="I41" s="245">
        <v>0</v>
      </c>
      <c r="J41" s="186">
        <f t="shared" si="0"/>
        <v>0</v>
      </c>
    </row>
    <row r="42" spans="1:12" ht="41.1" customHeight="1" x14ac:dyDescent="0.25">
      <c r="B42" s="321"/>
      <c r="C42" s="181" t="s">
        <v>179</v>
      </c>
      <c r="D42" s="182" t="s">
        <v>178</v>
      </c>
      <c r="E42" s="182">
        <v>1</v>
      </c>
      <c r="F42" s="219">
        <v>0.1</v>
      </c>
      <c r="G42" s="198">
        <v>1343500</v>
      </c>
      <c r="H42" s="245">
        <f t="shared" si="1"/>
        <v>2.19</v>
      </c>
      <c r="I42" s="245">
        <v>9</v>
      </c>
      <c r="J42" s="186">
        <f t="shared" si="0"/>
        <v>2648038.5</v>
      </c>
    </row>
    <row r="43" spans="1:12" ht="12.75" customHeight="1" x14ac:dyDescent="0.25">
      <c r="B43" s="207"/>
      <c r="D43" s="205"/>
      <c r="E43" s="205"/>
      <c r="F43" s="205"/>
      <c r="G43" s="208"/>
      <c r="H43" s="209"/>
      <c r="I43" s="209"/>
      <c r="J43" s="210"/>
    </row>
    <row r="44" spans="1:12" ht="33.75" customHeight="1" x14ac:dyDescent="0.25">
      <c r="B44" s="223" t="s">
        <v>210</v>
      </c>
      <c r="C44" s="223"/>
      <c r="D44" s="223"/>
      <c r="E44" s="223"/>
      <c r="F44" s="223"/>
      <c r="G44" s="224"/>
      <c r="H44" s="224"/>
      <c r="I44" s="224"/>
      <c r="J44" s="224">
        <f>SUM(J11:J43)</f>
        <v>568281457.5</v>
      </c>
    </row>
    <row r="45" spans="1:12" ht="9" customHeight="1" x14ac:dyDescent="0.25"/>
    <row r="46" spans="1:12" ht="44.25" customHeight="1" x14ac:dyDescent="0.25">
      <c r="B46" s="319" t="s">
        <v>163</v>
      </c>
      <c r="C46" s="194" t="s">
        <v>157</v>
      </c>
      <c r="D46" s="194" t="s">
        <v>156</v>
      </c>
      <c r="E46" s="176" t="s">
        <v>1</v>
      </c>
      <c r="F46" s="176" t="s">
        <v>233</v>
      </c>
      <c r="G46" s="194" t="s">
        <v>192</v>
      </c>
      <c r="H46" s="194" t="s">
        <v>193</v>
      </c>
      <c r="I46" s="194" t="s">
        <v>216</v>
      </c>
      <c r="J46" s="180" t="s">
        <v>145</v>
      </c>
    </row>
    <row r="47" spans="1:12" s="174" customFormat="1" ht="35.25" customHeight="1" x14ac:dyDescent="0.25">
      <c r="A47" s="173"/>
      <c r="B47" s="320"/>
      <c r="C47" s="189" t="s">
        <v>147</v>
      </c>
      <c r="D47" s="182" t="s">
        <v>148</v>
      </c>
      <c r="E47" s="182">
        <v>1</v>
      </c>
      <c r="F47" s="219">
        <v>0.2</v>
      </c>
      <c r="G47" s="246">
        <v>95500</v>
      </c>
      <c r="H47" s="196">
        <f>VLOOKUP(D47,Hoja2!B:D,3,0)</f>
        <v>2876000</v>
      </c>
      <c r="I47" s="185">
        <v>10</v>
      </c>
      <c r="J47" s="220">
        <f>+I47*H47*F47*E47</f>
        <v>5752000</v>
      </c>
      <c r="L47" s="173"/>
    </row>
    <row r="48" spans="1:12" s="174" customFormat="1" ht="42.75" hidden="1" customHeight="1" x14ac:dyDescent="0.25">
      <c r="A48" s="173"/>
      <c r="B48" s="320"/>
      <c r="C48" s="189" t="s">
        <v>150</v>
      </c>
      <c r="D48" s="182" t="s">
        <v>151</v>
      </c>
      <c r="E48" s="182">
        <v>1</v>
      </c>
      <c r="F48" s="219">
        <v>0</v>
      </c>
      <c r="G48" s="246">
        <v>148533</v>
      </c>
      <c r="H48" s="196">
        <f>VLOOKUP(D48,Hoja2!B:D,3,0)</f>
        <v>4485000</v>
      </c>
      <c r="I48" s="185">
        <v>10</v>
      </c>
      <c r="J48" s="220">
        <f t="shared" ref="J48:J53" si="2">+I48*H48*F48*E48</f>
        <v>0</v>
      </c>
      <c r="L48" s="173"/>
    </row>
    <row r="49" spans="1:12" s="174" customFormat="1" ht="35.25" customHeight="1" x14ac:dyDescent="0.25">
      <c r="A49" s="173"/>
      <c r="B49" s="320"/>
      <c r="C49" s="189" t="s">
        <v>66</v>
      </c>
      <c r="D49" s="182" t="s">
        <v>151</v>
      </c>
      <c r="E49" s="182">
        <v>1</v>
      </c>
      <c r="F49" s="219">
        <v>0.2</v>
      </c>
      <c r="G49" s="246">
        <v>149400</v>
      </c>
      <c r="H49" s="196">
        <f>VLOOKUP(D49,Hoja2!B:D,3,0)</f>
        <v>4485000</v>
      </c>
      <c r="I49" s="185">
        <v>10</v>
      </c>
      <c r="J49" s="220">
        <f t="shared" si="2"/>
        <v>8970000</v>
      </c>
      <c r="L49" s="173"/>
    </row>
    <row r="50" spans="1:12" s="174" customFormat="1" ht="35.25" hidden="1" customHeight="1" x14ac:dyDescent="0.25">
      <c r="A50" s="173"/>
      <c r="B50" s="320"/>
      <c r="C50" s="189" t="s">
        <v>67</v>
      </c>
      <c r="D50" s="182" t="s">
        <v>158</v>
      </c>
      <c r="E50" s="182">
        <v>0</v>
      </c>
      <c r="F50" s="219">
        <v>0</v>
      </c>
      <c r="G50" s="246">
        <v>241000</v>
      </c>
      <c r="H50" s="196">
        <f>VLOOKUP(D50,Hoja2!B:D,3,0)</f>
        <v>7270000</v>
      </c>
      <c r="I50" s="185">
        <v>10</v>
      </c>
      <c r="J50" s="220">
        <f t="shared" si="2"/>
        <v>0</v>
      </c>
      <c r="L50" s="173"/>
    </row>
    <row r="51" spans="1:12" s="174" customFormat="1" ht="35.25" hidden="1" customHeight="1" x14ac:dyDescent="0.25">
      <c r="A51" s="173"/>
      <c r="B51" s="320"/>
      <c r="C51" s="189" t="s">
        <v>160</v>
      </c>
      <c r="D51" s="182" t="s">
        <v>159</v>
      </c>
      <c r="E51" s="182">
        <v>0</v>
      </c>
      <c r="F51" s="219">
        <v>0</v>
      </c>
      <c r="G51" s="246">
        <v>329000</v>
      </c>
      <c r="H51" s="196">
        <f>VLOOKUP(D51,Hoja2!B:D,3,0)</f>
        <v>9897000</v>
      </c>
      <c r="I51" s="185">
        <v>10</v>
      </c>
      <c r="J51" s="220">
        <f t="shared" si="2"/>
        <v>0</v>
      </c>
      <c r="L51" s="173"/>
    </row>
    <row r="52" spans="1:12" s="174" customFormat="1" ht="35.25" hidden="1" customHeight="1" x14ac:dyDescent="0.25">
      <c r="A52" s="173"/>
      <c r="B52" s="320"/>
      <c r="C52" s="189" t="s">
        <v>161</v>
      </c>
      <c r="D52" s="182" t="s">
        <v>152</v>
      </c>
      <c r="E52" s="182">
        <v>0</v>
      </c>
      <c r="F52" s="219">
        <v>0</v>
      </c>
      <c r="G52" s="246">
        <v>190900</v>
      </c>
      <c r="H52" s="196">
        <f>VLOOKUP(D52,Hoja2!B:D,3,0)</f>
        <v>5756000</v>
      </c>
      <c r="I52" s="185">
        <v>10</v>
      </c>
      <c r="J52" s="220">
        <f t="shared" si="2"/>
        <v>0</v>
      </c>
      <c r="L52" s="173"/>
    </row>
    <row r="53" spans="1:12" s="174" customFormat="1" ht="35.25" hidden="1" customHeight="1" x14ac:dyDescent="0.25">
      <c r="A53" s="173"/>
      <c r="B53" s="321"/>
      <c r="C53" s="189" t="s">
        <v>162</v>
      </c>
      <c r="D53" s="182" t="s">
        <v>159</v>
      </c>
      <c r="E53" s="182">
        <v>0</v>
      </c>
      <c r="F53" s="219">
        <v>0</v>
      </c>
      <c r="G53" s="246">
        <v>329000</v>
      </c>
      <c r="H53" s="196">
        <f>VLOOKUP(D53,Hoja2!B:D,3,0)</f>
        <v>9897000</v>
      </c>
      <c r="I53" s="185">
        <v>10</v>
      </c>
      <c r="J53" s="220">
        <f t="shared" si="2"/>
        <v>0</v>
      </c>
      <c r="L53" s="173"/>
    </row>
    <row r="54" spans="1:12" ht="8.25" customHeight="1" x14ac:dyDescent="0.25"/>
    <row r="55" spans="1:12" ht="27.75" customHeight="1" x14ac:dyDescent="0.25">
      <c r="B55" s="223" t="s">
        <v>211</v>
      </c>
      <c r="C55" s="225"/>
      <c r="D55" s="225"/>
      <c r="E55" s="225"/>
      <c r="F55" s="225"/>
      <c r="G55" s="203"/>
      <c r="H55" s="203"/>
      <c r="I55" s="203"/>
      <c r="J55" s="224">
        <f>SUM(J47:J54)</f>
        <v>14722000</v>
      </c>
    </row>
    <row r="56" spans="1:12" ht="16.5" customHeight="1" x14ac:dyDescent="0.25"/>
    <row r="57" spans="1:12" s="174" customFormat="1" ht="83.25" customHeight="1" x14ac:dyDescent="0.25">
      <c r="A57" s="173"/>
      <c r="B57" s="226" t="s">
        <v>212</v>
      </c>
      <c r="C57" s="227" t="s">
        <v>183</v>
      </c>
      <c r="D57" s="322" t="s">
        <v>184</v>
      </c>
      <c r="E57" s="322"/>
      <c r="F57" s="322"/>
      <c r="G57" s="322"/>
      <c r="H57" s="228">
        <v>0.01</v>
      </c>
      <c r="I57" s="228"/>
      <c r="J57" s="224">
        <f>+J44*H57</f>
        <v>5682814.5750000002</v>
      </c>
      <c r="L57" s="173"/>
    </row>
    <row r="58" spans="1:12" s="174" customFormat="1" ht="23.25" customHeight="1" x14ac:dyDescent="0.25">
      <c r="A58" s="173"/>
      <c r="B58" s="173"/>
      <c r="C58" s="173"/>
      <c r="D58" s="173"/>
      <c r="E58" s="173"/>
      <c r="F58" s="173"/>
      <c r="G58" s="217"/>
      <c r="H58" s="217"/>
      <c r="I58" s="217"/>
      <c r="J58" s="218"/>
      <c r="L58" s="173"/>
    </row>
    <row r="59" spans="1:12" s="174" customFormat="1" ht="26.25" customHeight="1" x14ac:dyDescent="0.25">
      <c r="A59" s="173"/>
      <c r="B59" s="226" t="s">
        <v>213</v>
      </c>
      <c r="C59" s="227" t="s">
        <v>186</v>
      </c>
      <c r="D59" s="307"/>
      <c r="E59" s="308"/>
      <c r="F59" s="308"/>
      <c r="G59" s="308"/>
      <c r="H59" s="309"/>
      <c r="I59" s="232"/>
      <c r="J59" s="249">
        <v>0</v>
      </c>
      <c r="L59" s="173"/>
    </row>
    <row r="60" spans="1:12" s="174" customFormat="1" ht="28.5" customHeight="1" x14ac:dyDescent="0.25">
      <c r="A60" s="173"/>
      <c r="B60" s="211"/>
      <c r="C60" s="200"/>
      <c r="D60" s="200"/>
      <c r="E60" s="200"/>
      <c r="F60" s="200"/>
      <c r="G60" s="200"/>
      <c r="H60" s="212"/>
      <c r="I60" s="212"/>
      <c r="J60" s="213"/>
      <c r="L60" s="173"/>
    </row>
    <row r="61" spans="1:12" s="174" customFormat="1" ht="28.5" customHeight="1" x14ac:dyDescent="0.25">
      <c r="A61" s="173"/>
      <c r="B61" s="215" t="s">
        <v>209</v>
      </c>
      <c r="C61" s="310"/>
      <c r="D61" s="311"/>
      <c r="E61" s="311"/>
      <c r="F61" s="311"/>
      <c r="G61" s="311"/>
      <c r="H61" s="312"/>
      <c r="I61" s="222"/>
      <c r="J61" s="214">
        <f>+J59+J57+J55+J44</f>
        <v>588686272.07500005</v>
      </c>
      <c r="L61" s="173"/>
    </row>
    <row r="62" spans="1:12" s="174" customFormat="1" ht="28.5" customHeight="1" x14ac:dyDescent="0.25">
      <c r="A62" s="173"/>
      <c r="B62" s="216" t="s">
        <v>214</v>
      </c>
      <c r="C62" s="323"/>
      <c r="D62" s="323"/>
      <c r="E62" s="323"/>
      <c r="F62" s="323"/>
      <c r="G62" s="323"/>
      <c r="H62" s="323"/>
      <c r="I62" s="247">
        <v>0.19</v>
      </c>
      <c r="J62" s="214">
        <f>+J61*I62</f>
        <v>111850391.69425002</v>
      </c>
      <c r="L62" s="173"/>
    </row>
    <row r="63" spans="1:12" s="174" customFormat="1" ht="28.5" customHeight="1" x14ac:dyDescent="0.25">
      <c r="A63" s="173"/>
      <c r="B63" s="229" t="s">
        <v>215</v>
      </c>
      <c r="C63" s="316"/>
      <c r="D63" s="316"/>
      <c r="E63" s="316"/>
      <c r="F63" s="316"/>
      <c r="G63" s="316"/>
      <c r="H63" s="316"/>
      <c r="I63" s="233"/>
      <c r="J63" s="230">
        <f>ROUND(J62+J61,0)</f>
        <v>700536664</v>
      </c>
      <c r="L63" s="173"/>
    </row>
    <row r="64" spans="1:12" s="174" customFormat="1" ht="30.75" customHeight="1" x14ac:dyDescent="0.25">
      <c r="A64" s="173"/>
      <c r="B64" s="231" t="s">
        <v>180</v>
      </c>
      <c r="C64" s="173"/>
      <c r="D64" s="173"/>
      <c r="E64" s="173"/>
      <c r="F64" s="173"/>
      <c r="G64" s="175"/>
      <c r="H64" s="197"/>
      <c r="I64" s="197"/>
      <c r="J64" s="197"/>
      <c r="L64" s="173"/>
    </row>
    <row r="65" spans="1:12" s="174" customFormat="1" ht="24.75" customHeight="1" x14ac:dyDescent="0.25">
      <c r="A65" s="173"/>
      <c r="B65" s="231" t="s">
        <v>181</v>
      </c>
      <c r="C65" s="173"/>
      <c r="D65" s="173"/>
      <c r="E65" s="173"/>
      <c r="F65" s="173"/>
      <c r="G65" s="175"/>
      <c r="H65" s="197"/>
      <c r="I65" s="197"/>
      <c r="J65" s="197"/>
      <c r="L65" s="173"/>
    </row>
    <row r="66" spans="1:12" s="174" customFormat="1" ht="30" customHeight="1" x14ac:dyDescent="0.25">
      <c r="A66" s="173"/>
      <c r="B66" s="231" t="s">
        <v>188</v>
      </c>
      <c r="C66" s="173"/>
      <c r="D66" s="173"/>
      <c r="E66" s="173"/>
      <c r="F66" s="173"/>
      <c r="G66" s="175"/>
      <c r="H66" s="175"/>
      <c r="I66" s="175"/>
      <c r="J66" s="175"/>
      <c r="L66" s="173"/>
    </row>
    <row r="72" spans="1:12" ht="19.5" customHeight="1" x14ac:dyDescent="0.25">
      <c r="B72" s="200" t="s">
        <v>198</v>
      </c>
    </row>
    <row r="73" spans="1:12" ht="18" x14ac:dyDescent="0.25">
      <c r="B73" s="201"/>
    </row>
    <row r="74" spans="1:12" ht="18" customHeight="1" x14ac:dyDescent="0.25">
      <c r="B74" s="202"/>
    </row>
    <row r="75" spans="1:12" ht="18" x14ac:dyDescent="0.25">
      <c r="B75" s="202"/>
    </row>
    <row r="79" spans="1:12" x14ac:dyDescent="0.25">
      <c r="D79" s="173">
        <v>9845</v>
      </c>
      <c r="E79" s="173">
        <f>+D79/60</f>
        <v>164.08333333333334</v>
      </c>
      <c r="F79" s="173">
        <f>+E79/30</f>
        <v>5.469444444444445</v>
      </c>
      <c r="G79" s="173">
        <f>+F79+1</f>
        <v>6.469444444444445</v>
      </c>
      <c r="H79" s="175" t="s">
        <v>240</v>
      </c>
    </row>
  </sheetData>
  <protectedRanges>
    <protectedRange sqref="J10 J46" name="Rango1_4_1_2_1_1"/>
  </protectedRanges>
  <mergeCells count="10">
    <mergeCell ref="D59:H59"/>
    <mergeCell ref="C61:H61"/>
    <mergeCell ref="C62:H62"/>
    <mergeCell ref="C63:H63"/>
    <mergeCell ref="B5:J5"/>
    <mergeCell ref="B11:B13"/>
    <mergeCell ref="B14:B33"/>
    <mergeCell ref="B34:B42"/>
    <mergeCell ref="B46:B53"/>
    <mergeCell ref="D57:G57"/>
  </mergeCells>
  <phoneticPr fontId="42" type="noConversion"/>
  <printOptions horizontalCentered="1"/>
  <pageMargins left="0.54" right="0.28000000000000003" top="0.33" bottom="0.3" header="0.31496062992125984" footer="0.31496062992125984"/>
  <pageSetup scale="3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0000000}">
          <x14:formula1>
            <xm:f>Hoja2!$J$14:$J$20</xm:f>
          </x14:formula1>
          <xm:sqref>D47:D53</xm:sqref>
        </x14:dataValidation>
        <x14:dataValidation type="list" allowBlank="1" showInputMessage="1" showErrorMessage="1" xr:uid="{00000000-0002-0000-0800-000001000000}">
          <x14:formula1>
            <xm:f>Hoja2!$I$14:$I$22</xm:f>
          </x14:formula1>
          <xm:sqref>D34:D43</xm:sqref>
        </x14:dataValidation>
        <x14:dataValidation type="list" allowBlank="1" showInputMessage="1" showErrorMessage="1" xr:uid="{00000000-0002-0000-0800-000002000000}">
          <x14:formula1>
            <xm:f>Hoja2!$H$14:$H$20</xm:f>
          </x14:formula1>
          <xm:sqref>D14:D33</xm:sqref>
        </x14:dataValidation>
        <x14:dataValidation type="list" allowBlank="1" showInputMessage="1" showErrorMessage="1" xr:uid="{00000000-0002-0000-0800-000003000000}">
          <x14:formula1>
            <xm:f>Hoja2!$G$14:$G$16</xm:f>
          </x14:formula1>
          <xm:sqref>D11:D13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A969A1EB851E46BD35483BC083920E" ma:contentTypeVersion="16" ma:contentTypeDescription="Crear nuevo documento." ma:contentTypeScope="" ma:versionID="550f2e3929470f539dd758936d3f5231">
  <xsd:schema xmlns:xsd="http://www.w3.org/2001/XMLSchema" xmlns:xs="http://www.w3.org/2001/XMLSchema" xmlns:p="http://schemas.microsoft.com/office/2006/metadata/properties" xmlns:ns2="a95b978d-a1e5-4c09-8e6c-b0c65aae75ec" xmlns:ns3="da789bab-b973-4372-adb8-2a8d86fa0d67" targetNamespace="http://schemas.microsoft.com/office/2006/metadata/properties" ma:root="true" ma:fieldsID="f4ad493bb51fad4a248a6c051acfc894" ns2:_="" ns3:_="">
    <xsd:import namespace="a95b978d-a1e5-4c09-8e6c-b0c65aae75ec"/>
    <xsd:import namespace="da789bab-b973-4372-adb8-2a8d86fa0d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978d-a1e5-4c09-8e6c-b0c65aae7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ef2da99-86df-4c11-8d6f-e3b9bdc584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89bab-b973-4372-adb8-2a8d86fa0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cfde56-44a4-49d9-a5e2-70acffeb0e83}" ma:internalName="TaxCatchAll" ma:showField="CatchAllData" ma:web="da789bab-b973-4372-adb8-2a8d86fa0d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5b978d-a1e5-4c09-8e6c-b0c65aae75ec">
      <Terms xmlns="http://schemas.microsoft.com/office/infopath/2007/PartnerControls"/>
    </lcf76f155ced4ddcb4097134ff3c332f>
    <TaxCatchAll xmlns="da789bab-b973-4372-adb8-2a8d86fa0d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F584BA-B503-442D-9F71-678A33024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b978d-a1e5-4c09-8e6c-b0c65aae75ec"/>
    <ds:schemaRef ds:uri="da789bab-b973-4372-adb8-2a8d86fa0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349466-4F3E-45F5-AFBD-D4DE240DEB37}">
  <ds:schemaRefs>
    <ds:schemaRef ds:uri="http://schemas.microsoft.com/office/2006/metadata/properties"/>
    <ds:schemaRef ds:uri="http://schemas.microsoft.com/office/infopath/2007/PartnerControls"/>
    <ds:schemaRef ds:uri="a95b978d-a1e5-4c09-8e6c-b0c65aae75ec"/>
    <ds:schemaRef ds:uri="da789bab-b973-4372-adb8-2a8d86fa0d67"/>
  </ds:schemaRefs>
</ds:datastoreItem>
</file>

<file path=customXml/itemProps3.xml><?xml version="1.0" encoding="utf-8"?>
<ds:datastoreItem xmlns:ds="http://schemas.openxmlformats.org/officeDocument/2006/customXml" ds:itemID="{191C3D03-8BBC-4901-92E3-C50271D0D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RESUMEN INTERVENTORIA</vt:lpstr>
      <vt:lpstr>SARDI VALLE</vt:lpstr>
      <vt:lpstr>EL PALMAR VALLE</vt:lpstr>
      <vt:lpstr>FCO ZEA VALLE</vt:lpstr>
      <vt:lpstr>MEGA PALMIRA</vt:lpstr>
      <vt:lpstr>ITA - BUGA</vt:lpstr>
      <vt:lpstr>VILLEGAS - BUGA</vt:lpstr>
      <vt:lpstr>CERVANTES VALLE</vt:lpstr>
      <vt:lpstr>CONCEP VALLE</vt:lpstr>
      <vt:lpstr>Hoja1</vt:lpstr>
      <vt:lpstr>OBRA NUEVA 15 meses</vt:lpstr>
      <vt:lpstr>MITIGACIÓN 5 meses</vt:lpstr>
      <vt:lpstr>Hoja2</vt:lpstr>
      <vt:lpstr>Formato 10</vt:lpstr>
      <vt:lpstr>AULAS MODULARES (2)</vt:lpstr>
      <vt:lpstr>AULAS MODULARES (3)</vt:lpstr>
      <vt:lpstr>Hoja3</vt:lpstr>
      <vt:lpstr>'AULAS MODULARES (2)'!Área_de_impresión</vt:lpstr>
      <vt:lpstr>'AULAS MODULARES (3)'!Área_de_impresión</vt:lpstr>
      <vt:lpstr>'CERVANTES VALLE'!Área_de_impresión</vt:lpstr>
      <vt:lpstr>'CONCEP VALLE'!Área_de_impresión</vt:lpstr>
      <vt:lpstr>'EL PALMAR VALLE'!Área_de_impresión</vt:lpstr>
      <vt:lpstr>'FCO ZEA VALLE'!Área_de_impresión</vt:lpstr>
      <vt:lpstr>'Formato 10'!Área_de_impresión</vt:lpstr>
      <vt:lpstr>'ITA - BUGA'!Área_de_impresión</vt:lpstr>
      <vt:lpstr>'MEGA PALMIRA'!Área_de_impresión</vt:lpstr>
      <vt:lpstr>'MITIGACIÓN 5 meses'!Área_de_impresión</vt:lpstr>
      <vt:lpstr>'OBRA NUEVA 15 meses'!Área_de_impresión</vt:lpstr>
      <vt:lpstr>'SARDI VALLE'!Área_de_impresión</vt:lpstr>
      <vt:lpstr>'VILLEGAS - BUGA'!Área_de_impresión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MARCO TULIO RONCANCIO HERRERA</dc:creator>
  <cp:lastModifiedBy>Jairo Gustavo Enriquez Ramirez</cp:lastModifiedBy>
  <cp:lastPrinted>2020-07-22T13:15:47Z</cp:lastPrinted>
  <dcterms:created xsi:type="dcterms:W3CDTF">2011-12-20T21:08:46Z</dcterms:created>
  <dcterms:modified xsi:type="dcterms:W3CDTF">2024-02-05T22:13:33Z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48300</vt:r8>
  </property>
  <property fmtid="{D5CDD505-2E9C-101B-9397-08002B2CF9AE}" pid="3" name="ContentTypeId">
    <vt:lpwstr>0x01010075A969A1EB851E46BD35483BC083920E</vt:lpwstr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